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style1.xml" ContentType="application/vnd.ms-office.chartstyle+xml"/>
  <Override PartName="/xl/charts/colors1.xml" ContentType="application/vnd.ms-office.chartcolorstyle+xml"/>
  <Override PartName="/xl/charts/style2.xml" ContentType="application/vnd.ms-office.chartstyle+xml"/>
  <Override PartName="/xl/charts/colors2.xml" ContentType="application/vnd.ms-office.chartcolorstyle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0" yWindow="0" windowWidth="25600" windowHeight="16060" tabRatio="500"/>
  </bookViews>
  <sheets>
    <sheet name="Hoja1" sheetId="1" r:id="rId1"/>
    <sheet name="Hoja2" sheetId="2" r:id="rId2"/>
  </sheets>
  <definedNames>
    <definedName name="_xlchart.v1.0" hidden="1">Hoja2!$C$49:$M$49</definedName>
    <definedName name="_xlchart.v1.1" hidden="1">Hoja2!$C$61:$M$61</definedName>
    <definedName name="_xlchart.v1.2" hidden="1">Hoja2!$C$61:$M$61</definedName>
    <definedName name="_xlchart.v1.3" hidden="1">Hoja2!$C$61:$M$61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I158" i="1" l="1"/>
  <c r="I130" i="1"/>
  <c r="I116" i="1"/>
  <c r="F101" i="1"/>
  <c r="F88" i="1"/>
  <c r="F74" i="1"/>
  <c r="F57" i="2"/>
  <c r="G57" i="2"/>
  <c r="H57" i="2"/>
  <c r="I57" i="2"/>
  <c r="J57" i="2"/>
  <c r="K57" i="2"/>
  <c r="L57" i="2"/>
  <c r="M57" i="2"/>
  <c r="E57" i="2"/>
  <c r="F53" i="2"/>
  <c r="G53" i="2"/>
  <c r="H53" i="2"/>
  <c r="I53" i="2"/>
  <c r="J53" i="2"/>
  <c r="K53" i="2"/>
  <c r="L53" i="2"/>
  <c r="M53" i="2"/>
  <c r="E53" i="2"/>
  <c r="D53" i="2"/>
  <c r="M51" i="2"/>
  <c r="L51" i="2"/>
  <c r="K51" i="2"/>
  <c r="J51" i="2"/>
  <c r="I51" i="2"/>
  <c r="H51" i="2"/>
  <c r="G51" i="2"/>
  <c r="F51" i="2"/>
  <c r="E51" i="2"/>
  <c r="D44" i="2"/>
  <c r="D43" i="2"/>
  <c r="D39" i="2"/>
  <c r="G29" i="2"/>
  <c r="D26" i="2"/>
  <c r="L24" i="2"/>
  <c r="L17" i="2"/>
  <c r="L18" i="2"/>
  <c r="L19" i="2"/>
  <c r="L20" i="2"/>
  <c r="L16" i="2"/>
  <c r="G21" i="2"/>
  <c r="E8" i="2"/>
  <c r="E4" i="2"/>
  <c r="C17" i="2"/>
  <c r="C16" i="2"/>
  <c r="C15" i="2"/>
  <c r="C12" i="2"/>
  <c r="C11" i="2"/>
  <c r="C5" i="2"/>
  <c r="C6" i="2"/>
  <c r="C7" i="2"/>
  <c r="C8" i="2"/>
  <c r="C4" i="2"/>
  <c r="F4" i="2"/>
  <c r="B281" i="1"/>
  <c r="F8" i="2"/>
  <c r="D4" i="2"/>
  <c r="B329" i="1"/>
  <c r="M19" i="1"/>
  <c r="B291" i="1"/>
  <c r="B296" i="1"/>
  <c r="B282" i="1"/>
  <c r="I266" i="1"/>
  <c r="B64" i="1"/>
  <c r="H84" i="1"/>
  <c r="C9" i="1"/>
  <c r="H23" i="1"/>
  <c r="B69" i="2"/>
  <c r="B70" i="2"/>
  <c r="B71" i="2"/>
  <c r="B72" i="2"/>
  <c r="B73" i="2"/>
  <c r="B74" i="2"/>
  <c r="B75" i="2"/>
  <c r="B76" i="2"/>
  <c r="B77" i="2"/>
  <c r="B78" i="2"/>
  <c r="B68" i="2"/>
  <c r="B279" i="1"/>
  <c r="E44" i="2"/>
  <c r="F44" i="2"/>
  <c r="E43" i="2"/>
  <c r="F43" i="2"/>
  <c r="F15" i="2"/>
  <c r="G15" i="2"/>
  <c r="E39" i="2"/>
  <c r="F39" i="2"/>
  <c r="D34" i="2"/>
  <c r="E34" i="2"/>
  <c r="B35" i="2"/>
  <c r="D35" i="2"/>
  <c r="B34" i="2"/>
  <c r="B33" i="2"/>
  <c r="D33" i="2"/>
  <c r="D30" i="2"/>
  <c r="E27" i="2"/>
  <c r="D28" i="2"/>
  <c r="E28" i="2"/>
  <c r="D27" i="2"/>
  <c r="E26" i="2"/>
  <c r="D16" i="2"/>
  <c r="D17" i="2"/>
  <c r="D15" i="2"/>
  <c r="B18" i="2"/>
  <c r="C13" i="2"/>
  <c r="B13" i="2"/>
  <c r="D1" i="2"/>
  <c r="D6" i="2"/>
  <c r="E6" i="2"/>
  <c r="F7" i="2"/>
  <c r="G7" i="2"/>
  <c r="F5" i="2"/>
  <c r="G5" i="2"/>
  <c r="B9" i="2"/>
  <c r="N21" i="1"/>
  <c r="N27" i="1"/>
  <c r="P57" i="1"/>
  <c r="B26" i="1"/>
  <c r="B116" i="1"/>
  <c r="M37" i="1"/>
  <c r="B326" i="1"/>
  <c r="B327" i="1"/>
  <c r="B315" i="1"/>
  <c r="B319" i="1"/>
  <c r="E319" i="1"/>
  <c r="E320" i="1"/>
  <c r="E321" i="1"/>
  <c r="B316" i="1"/>
  <c r="B304" i="1"/>
  <c r="B308" i="1"/>
  <c r="E308" i="1"/>
  <c r="E309" i="1"/>
  <c r="E310" i="1"/>
  <c r="B305" i="1"/>
  <c r="B293" i="1"/>
  <c r="B292" i="1"/>
  <c r="B297" i="1"/>
  <c r="H121" i="1"/>
  <c r="J121" i="1"/>
  <c r="B260" i="1"/>
  <c r="B267" i="1"/>
  <c r="B224" i="1"/>
  <c r="B266" i="1"/>
  <c r="B229" i="1"/>
  <c r="D229" i="1"/>
  <c r="F260" i="1"/>
  <c r="D88" i="1"/>
  <c r="B89" i="1"/>
  <c r="J93" i="1"/>
  <c r="B245" i="1"/>
  <c r="B251" i="1"/>
  <c r="E248" i="1"/>
  <c r="B250" i="1"/>
  <c r="B248" i="1"/>
  <c r="B244" i="1"/>
  <c r="E244" i="1"/>
  <c r="B158" i="1"/>
  <c r="J149" i="1"/>
  <c r="G145" i="1"/>
  <c r="B145" i="1"/>
  <c r="D145" i="1"/>
  <c r="B60" i="1"/>
  <c r="B59" i="1"/>
  <c r="J79" i="1"/>
  <c r="B225" i="1"/>
  <c r="B232" i="1"/>
  <c r="B231" i="1"/>
  <c r="B230" i="1"/>
  <c r="C228" i="1"/>
  <c r="J162" i="1"/>
  <c r="B130" i="1"/>
  <c r="D130" i="1"/>
  <c r="G130" i="1"/>
  <c r="H136" i="1"/>
  <c r="J136" i="1"/>
  <c r="B101" i="1"/>
  <c r="D101" i="1"/>
  <c r="B102" i="1"/>
  <c r="J106" i="1"/>
  <c r="C41" i="1"/>
  <c r="B58" i="1"/>
  <c r="E58" i="1"/>
  <c r="E45" i="2"/>
  <c r="D36" i="2"/>
  <c r="J21" i="1"/>
  <c r="B23" i="1"/>
  <c r="C25" i="1"/>
  <c r="D5" i="2"/>
  <c r="E5" i="2"/>
  <c r="E297" i="1"/>
  <c r="E298" i="1"/>
  <c r="E299" i="1"/>
  <c r="B140" i="1"/>
  <c r="G158" i="1"/>
  <c r="D158" i="1"/>
  <c r="F45" i="2"/>
  <c r="D50" i="2"/>
  <c r="B110" i="1"/>
  <c r="B133" i="1"/>
  <c r="B136" i="1"/>
  <c r="D136" i="1"/>
  <c r="B97" i="1"/>
  <c r="M20" i="1"/>
  <c r="M23" i="1"/>
  <c r="N25" i="1"/>
  <c r="B104" i="1"/>
  <c r="B106" i="1"/>
  <c r="D106" i="1"/>
  <c r="E243" i="1"/>
  <c r="H243" i="1"/>
  <c r="E33" i="2"/>
  <c r="B91" i="1"/>
  <c r="B147" i="1"/>
  <c r="B264" i="1"/>
  <c r="E17" i="2"/>
  <c r="E15" i="2"/>
  <c r="F17" i="2"/>
  <c r="G17" i="2"/>
  <c r="F12" i="2"/>
  <c r="G12" i="2"/>
  <c r="D18" i="2"/>
  <c r="E16" i="2"/>
  <c r="F6" i="2"/>
  <c r="G6" i="2"/>
  <c r="M64" i="1"/>
  <c r="E329" i="1"/>
  <c r="E330" i="1"/>
  <c r="E331" i="1"/>
  <c r="D116" i="1"/>
  <c r="G116" i="1"/>
  <c r="F259" i="1"/>
  <c r="I265" i="1"/>
  <c r="C9" i="2"/>
  <c r="G8" i="2"/>
  <c r="D8" i="2"/>
  <c r="F11" i="2"/>
  <c r="F16" i="2"/>
  <c r="G16" i="2"/>
  <c r="G18" i="2"/>
  <c r="C18" i="2"/>
  <c r="E29" i="2"/>
  <c r="H29" i="2"/>
  <c r="E35" i="2"/>
  <c r="B74" i="1"/>
  <c r="D74" i="1"/>
  <c r="D7" i="2"/>
  <c r="E7" i="2"/>
  <c r="B75" i="1"/>
  <c r="E19" i="1"/>
  <c r="B277" i="1"/>
  <c r="L50" i="2"/>
  <c r="H50" i="2"/>
  <c r="K50" i="2"/>
  <c r="J50" i="2"/>
  <c r="F50" i="2"/>
  <c r="M50" i="2"/>
  <c r="E50" i="2"/>
  <c r="G50" i="2"/>
  <c r="I50" i="2"/>
  <c r="N31" i="1"/>
  <c r="M35" i="1"/>
  <c r="B166" i="1"/>
  <c r="B160" i="1"/>
  <c r="B162" i="1"/>
  <c r="D162" i="1"/>
  <c r="B237" i="1"/>
  <c r="D83" i="1"/>
  <c r="B223" i="1"/>
  <c r="B234" i="1"/>
  <c r="B77" i="1"/>
  <c r="B79" i="1"/>
  <c r="D79" i="1"/>
  <c r="E9" i="2"/>
  <c r="E21" i="2"/>
  <c r="D9" i="2"/>
  <c r="B119" i="1"/>
  <c r="B121" i="1"/>
  <c r="D121" i="1"/>
  <c r="B125" i="1"/>
  <c r="B259" i="1"/>
  <c r="B261" i="1"/>
  <c r="I259" i="1"/>
  <c r="B243" i="1"/>
  <c r="B153" i="1"/>
  <c r="B31" i="1"/>
  <c r="B35" i="1"/>
  <c r="F13" i="2"/>
  <c r="G11" i="2"/>
  <c r="G13" i="2"/>
  <c r="F21" i="2"/>
  <c r="F9" i="2"/>
  <c r="G4" i="2"/>
  <c r="B93" i="1"/>
  <c r="B278" i="1"/>
  <c r="E281" i="1"/>
  <c r="E284" i="1"/>
  <c r="E286" i="1"/>
  <c r="C227" i="1"/>
  <c r="E18" i="2"/>
  <c r="E36" i="2"/>
  <c r="K27" i="2"/>
  <c r="D51" i="2"/>
  <c r="D52" i="2"/>
  <c r="F18" i="2"/>
  <c r="F52" i="2"/>
  <c r="H52" i="2"/>
  <c r="J52" i="2"/>
  <c r="L52" i="2"/>
  <c r="E52" i="2"/>
  <c r="G52" i="2"/>
  <c r="I52" i="2"/>
  <c r="K52" i="2"/>
  <c r="M52" i="2"/>
  <c r="C226" i="1"/>
  <c r="F237" i="1"/>
  <c r="B149" i="1"/>
  <c r="D149" i="1"/>
  <c r="D93" i="1"/>
  <c r="B253" i="1"/>
  <c r="B254" i="1"/>
  <c r="B247" i="1"/>
  <c r="B269" i="1"/>
  <c r="B270" i="1"/>
  <c r="B263" i="1"/>
  <c r="M44" i="1"/>
  <c r="M49" i="1"/>
  <c r="M65" i="1"/>
  <c r="M66" i="1"/>
  <c r="M67" i="1"/>
  <c r="M39" i="1"/>
  <c r="M43" i="1"/>
  <c r="G9" i="2"/>
  <c r="L5" i="2"/>
  <c r="B39" i="1"/>
  <c r="B43" i="1"/>
  <c r="B44" i="1"/>
  <c r="B49" i="1"/>
  <c r="B65" i="1"/>
  <c r="E64" i="1"/>
  <c r="E65" i="1"/>
  <c r="F221" i="1"/>
  <c r="F222" i="1"/>
  <c r="B238" i="1"/>
  <c r="L11" i="2"/>
  <c r="L7" i="2"/>
  <c r="L10" i="2"/>
  <c r="L6" i="2"/>
  <c r="L12" i="2"/>
  <c r="L8" i="2"/>
  <c r="L9" i="2"/>
  <c r="L13" i="2"/>
  <c r="L21" i="2"/>
  <c r="L23" i="2"/>
  <c r="C59" i="2"/>
  <c r="D57" i="2"/>
  <c r="D54" i="2"/>
  <c r="E54" i="2"/>
  <c r="F54" i="2"/>
  <c r="G54" i="2"/>
  <c r="H54" i="2"/>
  <c r="I54" i="2"/>
  <c r="J54" i="2"/>
  <c r="K54" i="2"/>
  <c r="L54" i="2"/>
  <c r="M54" i="2"/>
  <c r="C58" i="2"/>
  <c r="D55" i="2"/>
  <c r="L25" i="2"/>
  <c r="C60" i="2"/>
  <c r="D56" i="2"/>
  <c r="E55" i="2"/>
  <c r="F55" i="2"/>
  <c r="G55" i="2"/>
  <c r="H55" i="2"/>
  <c r="I55" i="2"/>
  <c r="J55" i="2"/>
  <c r="K55" i="2"/>
  <c r="L55" i="2"/>
  <c r="M55" i="2"/>
  <c r="C62" i="2"/>
  <c r="C61" i="2"/>
  <c r="D60" i="2"/>
  <c r="E56" i="2"/>
  <c r="F56" i="2"/>
  <c r="G56" i="2"/>
  <c r="H56" i="2"/>
  <c r="I56" i="2"/>
  <c r="J56" i="2"/>
  <c r="K56" i="2"/>
  <c r="L56" i="2"/>
  <c r="M56" i="2"/>
  <c r="D62" i="2"/>
  <c r="D61" i="2"/>
  <c r="E60" i="2"/>
  <c r="F60" i="2"/>
  <c r="E62" i="2"/>
  <c r="E61" i="2"/>
  <c r="F61" i="2"/>
  <c r="G60" i="2"/>
  <c r="F62" i="2"/>
  <c r="H60" i="2"/>
  <c r="G62" i="2"/>
  <c r="G61" i="2"/>
  <c r="H61" i="2"/>
  <c r="I60" i="2"/>
  <c r="H62" i="2"/>
  <c r="J60" i="2"/>
  <c r="I62" i="2"/>
  <c r="I61" i="2"/>
  <c r="J61" i="2"/>
  <c r="K60" i="2"/>
  <c r="J62" i="2"/>
  <c r="L60" i="2"/>
  <c r="K62" i="2"/>
  <c r="K61" i="2"/>
  <c r="L61" i="2"/>
  <c r="M60" i="2"/>
  <c r="L62" i="2"/>
  <c r="C69" i="2"/>
  <c r="C77" i="2"/>
  <c r="C76" i="2"/>
  <c r="M62" i="2"/>
  <c r="C63" i="2"/>
  <c r="C75" i="2"/>
  <c r="C70" i="2"/>
  <c r="C78" i="2"/>
  <c r="C71" i="2"/>
  <c r="C73" i="2"/>
  <c r="C68" i="2"/>
  <c r="C74" i="2"/>
  <c r="C72" i="2"/>
  <c r="M61" i="2"/>
</calcChain>
</file>

<file path=xl/sharedStrings.xml><?xml version="1.0" encoding="utf-8"?>
<sst xmlns="http://schemas.openxmlformats.org/spreadsheetml/2006/main" count="539" uniqueCount="265">
  <si>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</si>
  <si>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</si>
  <si>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</si>
  <si>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</si>
  <si>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</si>
  <si>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</si>
  <si>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</si>
  <si>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</si>
  <si>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</si>
  <si>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</si>
  <si>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</si>
  <si>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</si>
  <si>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</si>
  <si>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</si>
  <si>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</si>
  <si>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</si>
  <si>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</si>
  <si>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</si>
  <si>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</si>
  <si>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</si>
  <si>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</si>
  <si>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</si>
  <si>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</si>
  <si>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</si>
  <si>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</si>
  <si>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 xml:space="preserve">Volumen columa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</si>
  <si>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</si>
  <si>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</si>
  <si>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</si>
  <si>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</si>
  <si>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</si>
  <si>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</si>
  <si>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</si>
  <si>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</si>
  <si>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</si>
  <si>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</si>
  <si>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</si>
  <si>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</si>
  <si>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</si>
  <si>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</si>
  <si>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</si>
  <si>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</si>
  <si>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</si>
  <si>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</si>
  <si>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</si>
  <si>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</si>
  <si>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</si>
  <si>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</si>
  <si>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</si>
  <si>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</si>
  <si>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</si>
  <si>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</si>
  <si>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</si>
  <si>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</si>
  <si>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</si>
  <si>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</si>
  <si>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</si>
  <si>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</si>
  <si>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</si>
  <si>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</si>
  <si>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</si>
  <si>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</si>
  <si>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</si>
  <si>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</si>
  <si>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</si>
  <si>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</si>
  <si>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</si>
  <si>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</si>
  <si>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</si>
  <si>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</si>
  <si>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</si>
  <si>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</si>
  <si>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</si>
  <si>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</si>
  <si>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</si>
  <si>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</si>
  <si>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</si>
  <si>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</si>
  <si>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</si>
  <si>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</si>
  <si>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</si>
  <si>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</si>
  <si>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</si>
  <si>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</si>
  <si>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</si>
  <si>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</si>
  <si>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</si>
  <si>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</si>
  <si>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</si>
  <si>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</si>
  <si>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</si>
  <si>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</si>
  <si>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</si>
  <si>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</si>
  <si>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</si>
  <si>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</si>
  <si>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</si>
  <si>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</si>
  <si>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</si>
  <si>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</si>
  <si>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</si>
  <si>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</si>
  <si>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</si>
  <si>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</si>
  <si>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</si>
  <si>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</si>
  <si>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</si>
  <si>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</si>
  <si>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</si>
  <si>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</si>
  <si>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</si>
  <si>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</si>
  <si>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</si>
  <si>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</si>
  <si>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</si>
  <si>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</si>
  <si>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</si>
  <si>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</si>
  <si>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</si>
  <si>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</si>
  <si>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</si>
  <si>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</si>
  <si>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</si>
  <si>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</si>
  <si>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</si>
  <si>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</si>
  <si>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</si>
  <si>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</si>
  <si>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</si>
  <si>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</si>
  <si>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</si>
  <si>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</si>
  <si>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</si>
  <si>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</si>
  <si>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</si>
  <si>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</si>
  <si>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</si>
  <si>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</si>
  <si>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</si>
  <si>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</si>
  <si>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</si>
  <si>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</si>
  <si>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</si>
  <si>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</si>
  <si>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</si>
  <si>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</si>
  <si>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</si>
  <si>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</si>
  <si>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</si>
  <si>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</si>
  <si>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</si>
  <si>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</si>
  <si>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</si>
  <si>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</si>
  <si>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</si>
  <si>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</si>
  <si>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</si>
  <si>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</si>
  <si>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</si>
  <si>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</si>
  <si>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</si>
  <si>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</si>
  <si>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</si>
  <si>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</si>
  <si>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</si>
  <si>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</si>
  <si>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</si>
  <si>
    <t>L volumetrico</t>
  </si>
  <si>
    <t>m3/s</t>
  </si>
  <si>
    <t>concentracion de saturacion =q</t>
  </si>
  <si>
    <t>densidad resina</t>
  </si>
  <si>
    <t>kg lba/kg resina</t>
  </si>
  <si>
    <t xml:space="preserve">kg lba/m3 </t>
  </si>
  <si>
    <t>kg S/kg resina</t>
  </si>
  <si>
    <t>incremento/L</t>
  </si>
  <si>
    <t>incremento</t>
  </si>
  <si>
    <t>CE 02</t>
  </si>
  <si>
    <t>CE' 02</t>
  </si>
  <si>
    <t>CEI02</t>
  </si>
  <si>
    <t>CEI 17</t>
  </si>
  <si>
    <t>indice</t>
  </si>
  <si>
    <t>SMB1</t>
  </si>
  <si>
    <t>SMB2</t>
  </si>
  <si>
    <t>B1</t>
  </si>
  <si>
    <t>B2</t>
  </si>
  <si>
    <t>B3</t>
  </si>
  <si>
    <t>COSTES EQUIPOS</t>
  </si>
  <si>
    <t>INVERSION</t>
  </si>
  <si>
    <t>Potencia (KW)</t>
  </si>
  <si>
    <t>Tiempo (h)</t>
  </si>
  <si>
    <t>Consumo (kwh/año)</t>
  </si>
  <si>
    <t>coste bomba</t>
  </si>
  <si>
    <t>$/kwh</t>
  </si>
  <si>
    <t>€</t>
  </si>
  <si>
    <t>COSTE (€/año)</t>
  </si>
  <si>
    <t>4 operarios</t>
  </si>
  <si>
    <t>1 tecnico</t>
  </si>
  <si>
    <t>1 ingeniero</t>
  </si>
  <si>
    <t>numero total</t>
  </si>
  <si>
    <t>trabajadors/turno</t>
  </si>
  <si>
    <t>€/año trabajador</t>
  </si>
  <si>
    <t>coste(€/año)</t>
  </si>
  <si>
    <t>CE 17</t>
  </si>
  <si>
    <t>Electricidad</t>
  </si>
  <si>
    <t>kg/año</t>
  </si>
  <si>
    <t>kg/carga</t>
  </si>
  <si>
    <t>€/año</t>
  </si>
  <si>
    <t>CEE (€)</t>
  </si>
  <si>
    <t>1$</t>
  </si>
  <si>
    <t>tipo amterial</t>
  </si>
  <si>
    <t>instalacion</t>
  </si>
  <si>
    <t>sctualizado</t>
  </si>
  <si>
    <t>sin instalacion</t>
  </si>
  <si>
    <t>costes directos</t>
  </si>
  <si>
    <t>Equipos</t>
  </si>
  <si>
    <t>Instalacion</t>
  </si>
  <si>
    <t>Instrumentacion y control</t>
  </si>
  <si>
    <t>tuberias</t>
  </si>
  <si>
    <t>sistema electrico</t>
  </si>
  <si>
    <t>edificios</t>
  </si>
  <si>
    <t>mejoras</t>
  </si>
  <si>
    <t>instalaciones de servicio</t>
  </si>
  <si>
    <t>PEDC (%)</t>
  </si>
  <si>
    <t>CEE 17 (€)</t>
  </si>
  <si>
    <t>costes indirectos</t>
  </si>
  <si>
    <t>ingenieria</t>
  </si>
  <si>
    <t>construccion</t>
  </si>
  <si>
    <t>legales</t>
  </si>
  <si>
    <t>contratista</t>
  </si>
  <si>
    <t>emergencias</t>
  </si>
  <si>
    <t>FCI</t>
  </si>
  <si>
    <t>capital circulante</t>
  </si>
  <si>
    <t>costes de produccion</t>
  </si>
  <si>
    <t>VENTAS</t>
  </si>
  <si>
    <t>€/kg</t>
  </si>
  <si>
    <t xml:space="preserve">CE17 </t>
  </si>
  <si>
    <t>VIABILIDAD ECONOMICA</t>
  </si>
  <si>
    <t>Ventas</t>
  </si>
  <si>
    <t>(-) costes produccion</t>
  </si>
  <si>
    <t>BAAIT</t>
  </si>
  <si>
    <t>(-)amortizacion</t>
  </si>
  <si>
    <t>BAII</t>
  </si>
  <si>
    <t>Beneficio neto</t>
  </si>
  <si>
    <t>(+)Amortizacion</t>
  </si>
  <si>
    <t>(-)inversion en A. Fijos</t>
  </si>
  <si>
    <t>(-) inversion en NOF</t>
  </si>
  <si>
    <t>FCL</t>
  </si>
  <si>
    <t>Retorno</t>
  </si>
  <si>
    <t>(-impuestos) 30%</t>
  </si>
  <si>
    <t>VAN</t>
  </si>
  <si>
    <t>r</t>
  </si>
  <si>
    <t>1+r</t>
  </si>
  <si>
    <t>perdida de carga columna 1</t>
  </si>
  <si>
    <t>Productos reaccion</t>
  </si>
  <si>
    <t>Eluyente (H2O)</t>
  </si>
  <si>
    <t>L+F+H2O</t>
  </si>
  <si>
    <t>cargas</t>
  </si>
  <si>
    <t>Consumo (kwh/carga)</t>
  </si>
  <si>
    <t>€/kwh</t>
  </si>
  <si>
    <t>€/1000 kg</t>
  </si>
  <si>
    <t>AÑO</t>
  </si>
  <si>
    <t>cuando y vale 0</t>
  </si>
  <si>
    <t>x vale</t>
  </si>
  <si>
    <t>1.9</t>
  </si>
  <si>
    <t>años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</si>
</sst>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10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  <font>
      <b/>
      <sz val="14"/>
      <color theme="1"/>
      <name val="Calibri"/>
      <scheme val="minor"/>
    </font>
    <font>
      <b/>
      <sz val="16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10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3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  <xf numFmtId="0" fontId="0" fillId="0" borderId="0" xfId="0" applyFont="1"/>
    <xf numFmtId="0" fontId="1" fillId="4" borderId="0" xfId="0" applyFont="1" applyFill="1"/>
    <xf numFmtId="0" fontId="0" fillId="0" borderId="1" xfId="0" applyBorder="1"/>
    <xf numFmtId="0" fontId="0" fillId="0" borderId="2" xfId="0" applyBorder="1"/>
    <xf numFmtId="0" fontId="0" fillId="0" borderId="0" xfId="0" applyFill="1" applyBorder="1"/>
  </cellXfs>
  <cellStyles count="10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" xfId="73" builtinId="8" hidden="1"/>
    <cellStyle name="Hipervínculo" xfId="75" builtinId="8" hidden="1"/>
    <cellStyle name="Hipervínculo" xfId="77" builtinId="8" hidden="1"/>
    <cellStyle name="Hipervínculo" xfId="79" builtinId="8" hidden="1"/>
    <cellStyle name="Hipervínculo" xfId="81" builtinId="8" hidden="1"/>
    <cellStyle name="Hipervínculo" xfId="83" builtinId="8" hidden="1"/>
    <cellStyle name="Hipervínculo" xfId="85" builtinId="8" hidden="1"/>
    <cellStyle name="Hipervínculo" xfId="87" builtinId="8" hidden="1"/>
    <cellStyle name="Hipervínculo" xfId="89" builtinId="8" hidden="1"/>
    <cellStyle name="Hipervínculo" xfId="91" builtinId="8" hidden="1"/>
    <cellStyle name="Hipervínculo" xfId="93" builtinId="8" hidden="1"/>
    <cellStyle name="Hipervínculo" xfId="95" builtinId="8" hidden="1"/>
    <cellStyle name="Hipervínculo" xfId="97" builtinId="8" hidden="1"/>
    <cellStyle name="Hipervínculo" xfId="99" builtinId="8" hidden="1"/>
    <cellStyle name="Hipervínculo" xfId="10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Hipervínculo visitado" xfId="74" builtinId="9" hidden="1"/>
    <cellStyle name="Hipervínculo visitado" xfId="76" builtinId="9" hidden="1"/>
    <cellStyle name="Hipervínculo visitado" xfId="78" builtinId="9" hidden="1"/>
    <cellStyle name="Hipervínculo visitado" xfId="80" builtinId="9" hidden="1"/>
    <cellStyle name="Hipervínculo visitado" xfId="82" builtinId="9" hidden="1"/>
    <cellStyle name="Hipervínculo visitado" xfId="84" builtinId="9" hidden="1"/>
    <cellStyle name="Hipervínculo visitado" xfId="86" builtinId="9" hidden="1"/>
    <cellStyle name="Hipervínculo visitado" xfId="88" builtinId="9" hidden="1"/>
    <cellStyle name="Hipervínculo visitado" xfId="90" builtinId="9" hidden="1"/>
    <cellStyle name="Hipervínculo visitado" xfId="92" builtinId="9" hidden="1"/>
    <cellStyle name="Hipervínculo visitado" xfId="94" builtinId="9" hidden="1"/>
    <cellStyle name="Hipervínculo visitado" xfId="96" builtinId="9" hidden="1"/>
    <cellStyle name="Hipervínculo visitado" xfId="98" builtinId="9" hidden="1"/>
    <cellStyle name="Hipervínculo visitado" xfId="100" builtinId="9" hidden="1"/>
    <cellStyle name="Hipervínculo visitado" xfId="102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Hoja2!$C$49:$M$49</c:f>
              <c:numCache>
                <c:formatCode>General</c:formatCode>
                <c:ptCount val="11"/>
                <c:pt idx="0">
                  <c:v>0.0</c:v>
                </c:pt>
                <c:pt idx="1">
                  <c:v>1.0</c:v>
                </c:pt>
                <c:pt idx="2">
                  <c:v>2.0</c:v>
                </c:pt>
                <c:pt idx="3">
                  <c:v>3.0</c:v>
                </c:pt>
                <c:pt idx="4">
                  <c:v>4.0</c:v>
                </c:pt>
                <c:pt idx="5">
                  <c:v>5.0</c:v>
                </c:pt>
                <c:pt idx="6">
                  <c:v>6.0</c:v>
                </c:pt>
                <c:pt idx="7">
                  <c:v>7.0</c:v>
                </c:pt>
                <c:pt idx="8">
                  <c:v>8.0</c:v>
                </c:pt>
                <c:pt idx="9">
                  <c:v>9.0</c:v>
                </c:pt>
                <c:pt idx="10">
                  <c:v>10.0</c:v>
                </c:pt>
              </c:numCache>
            </c:numRef>
          </c:xVal>
          <c:yVal>
            <c:numRef>
              <c:f>Hoja2!$C$61:$M$61</c:f>
              <c:numCache>
                <c:formatCode>General</c:formatCode>
                <c:ptCount val="11"/>
                <c:pt idx="0">
                  <c:v>-1.86170313101434E6</c:v>
                </c:pt>
                <c:pt idx="1">
                  <c:v>-774427.9513877767</c:v>
                </c:pt>
                <c:pt idx="2">
                  <c:v>312847.228238791</c:v>
                </c:pt>
                <c:pt idx="3">
                  <c:v>1.40012240786536E6</c:v>
                </c:pt>
                <c:pt idx="4">
                  <c:v>2.48739758749193E6</c:v>
                </c:pt>
                <c:pt idx="5">
                  <c:v>3.57467276711849E6</c:v>
                </c:pt>
                <c:pt idx="6">
                  <c:v>4.66194794674506E6</c:v>
                </c:pt>
                <c:pt idx="7">
                  <c:v>5.74922312637163E6</c:v>
                </c:pt>
                <c:pt idx="8">
                  <c:v>6.8364983059982E6</c:v>
                </c:pt>
                <c:pt idx="9">
                  <c:v>7.92377348562476E6</c:v>
                </c:pt>
                <c:pt idx="10">
                  <c:v>9.01104866525133E6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5DAF-4D4B-992F-9598AF44DF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8061368"/>
        <c:axId val="2098054152"/>
      </c:scatterChart>
      <c:valAx>
        <c:axId val="20980613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_tradnl">
                    <a:solidFill>
                      <a:schemeClr val="tx1"/>
                    </a:solidFill>
                  </a:rPr>
                  <a:t>Tiempo (años)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098054152"/>
        <c:crosses val="autoZero"/>
        <c:crossBetween val="midCat"/>
        <c:majorUnit val="1.0"/>
      </c:valAx>
      <c:valAx>
        <c:axId val="2098054152"/>
        <c:scaling>
          <c:orientation val="minMax"/>
          <c:min val="-6.0E6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s-ES_tradnl">
                    <a:solidFill>
                      <a:schemeClr val="tx1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Flujo de caja acumulado (Millones de €)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098061368"/>
        <c:crosses val="autoZero"/>
        <c:crossBetween val="midCat"/>
        <c:dispUnits>
          <c:builtInUnit val="millions"/>
        </c:dispUnits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0715977290186288"/>
                  <c:y val="0.06209193280187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Hoja2!$A$68:$A$78</c:f>
              <c:numCache>
                <c:formatCode>General</c:formatCode>
                <c:ptCount val="11"/>
                <c:pt idx="0">
                  <c:v>0.0</c:v>
                </c:pt>
                <c:pt idx="1">
                  <c:v>0.01</c:v>
                </c:pt>
                <c:pt idx="2">
                  <c:v>0.02</c:v>
                </c:pt>
                <c:pt idx="3">
                  <c:v>0.03</c:v>
                </c:pt>
                <c:pt idx="4">
                  <c:v>0.04</c:v>
                </c:pt>
                <c:pt idx="5">
                  <c:v>0.05</c:v>
                </c:pt>
                <c:pt idx="6">
                  <c:v>0.06</c:v>
                </c:pt>
                <c:pt idx="7">
                  <c:v>0.07</c:v>
                </c:pt>
                <c:pt idx="8">
                  <c:v>0.08</c:v>
                </c:pt>
                <c:pt idx="9">
                  <c:v>0.09</c:v>
                </c:pt>
                <c:pt idx="10">
                  <c:v>0.1</c:v>
                </c:pt>
              </c:numCache>
            </c:numRef>
          </c:xVal>
          <c:yVal>
            <c:numRef>
              <c:f>Hoja2!$C$68:$C$78</c:f>
              <c:numCache>
                <c:formatCode>General</c:formatCode>
                <c:ptCount val="11"/>
                <c:pt idx="0">
                  <c:v>9.01104866525133E6</c:v>
                </c:pt>
                <c:pt idx="1">
                  <c:v>8.4786362959909E6</c:v>
                </c:pt>
                <c:pt idx="2">
                  <c:v>7.987639399291E6</c:v>
                </c:pt>
                <c:pt idx="3">
                  <c:v>7.53421907490813E6</c:v>
                </c:pt>
                <c:pt idx="4">
                  <c:v>7.11493755027811E6</c:v>
                </c:pt>
                <c:pt idx="5">
                  <c:v>6.72671200428442E6</c:v>
                </c:pt>
                <c:pt idx="6">
                  <c:v>6.36677414862442E6</c:v>
                </c:pt>
                <c:pt idx="7">
                  <c:v>6.03263479658606E6</c:v>
                </c:pt>
                <c:pt idx="8">
                  <c:v>5.72205275875773E6</c:v>
                </c:pt>
                <c:pt idx="9">
                  <c:v>5.43300749836433E6</c:v>
                </c:pt>
                <c:pt idx="10">
                  <c:v>5.16367505817906E6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8D35-7941-8366-E41C0D8B28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93047016"/>
        <c:axId val="2093067544"/>
      </c:scatterChart>
      <c:valAx>
        <c:axId val="20930470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_tradnl">
                    <a:solidFill>
                      <a:schemeClr val="tx1"/>
                    </a:solidFill>
                  </a:rPr>
                  <a:t>Coste del capital</a:t>
                </a:r>
                <a:r>
                  <a:rPr lang="es-ES_tradnl" baseline="0">
                    <a:solidFill>
                      <a:schemeClr val="tx1"/>
                    </a:solidFill>
                  </a:rPr>
                  <a:t> (%)</a:t>
                </a:r>
                <a:endParaRPr lang="es-ES_tradnl">
                  <a:solidFill>
                    <a:schemeClr val="tx1"/>
                  </a:solidFill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093067544"/>
        <c:crosses val="autoZero"/>
        <c:crossBetween val="midCat"/>
        <c:majorUnit val="0.01"/>
      </c:valAx>
      <c:valAx>
        <c:axId val="209306754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 marL="0" marR="0" indent="0" algn="ctr" defTabSz="914400" rtl="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 sz="10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_tradnl" sz="1000" b="0" i="0" kern="1200" baseline="0">
                    <a:solidFill>
                      <a:srgbClr val="000000"/>
                    </a:solidFill>
                    <a:effectLst/>
                    <a:latin typeface="Arial" panose="020B0604020202020204" pitchFamily="34" charset="0"/>
                    <a:cs typeface="Arial" panose="020B0604020202020204" pitchFamily="34" charset="0"/>
                  </a:rPr>
                  <a:t>Flujo de caja acumulado (Millones de €)</a:t>
                </a:r>
                <a:endParaRPr lang="es-ES">
                  <a:effectLst/>
                </a:endParaRP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093047016"/>
        <c:crosses val="autoZero"/>
        <c:crossBetween val="midCat"/>
        <c:dispUnits>
          <c:builtInUnit val="millions"/>
        </c:dispUnits>
      </c:valAx>
      <c:spPr>
        <a:noFill/>
        <a:ln>
          <a:solidFill>
            <a:schemeClr val="tx1"/>
          </a:solidFill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171</xdr:row>
      <xdr:rowOff>50800</xdr:rowOff>
    </xdr:from>
    <xdr:to>
      <xdr:col>8</xdr:col>
      <xdr:colOff>381000</xdr:colOff>
      <xdr:row>175</xdr:row>
      <xdr:rowOff>114300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182</xdr:row>
      <xdr:rowOff>101600</xdr:rowOff>
    </xdr:from>
    <xdr:to>
      <xdr:col>5</xdr:col>
      <xdr:colOff>965200</xdr:colOff>
      <xdr:row>186</xdr:row>
      <xdr:rowOff>139700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190</xdr:row>
      <xdr:rowOff>0</xdr:rowOff>
    </xdr:from>
    <xdr:to>
      <xdr:col>8</xdr:col>
      <xdr:colOff>444500</xdr:colOff>
      <xdr:row>217</xdr:row>
      <xdr:rowOff>12700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853440</xdr:colOff>
      <xdr:row>62</xdr:row>
      <xdr:rowOff>162560</xdr:rowOff>
    </xdr:from>
    <xdr:to>
      <xdr:col>9</xdr:col>
      <xdr:colOff>71120</xdr:colOff>
      <xdr:row>78</xdr:row>
      <xdr:rowOff>101600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xmlns="" id="{2AD57BD5-89A6-B547-88D0-31F898683E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365760</xdr:colOff>
      <xdr:row>82</xdr:row>
      <xdr:rowOff>91440</xdr:rowOff>
    </xdr:from>
    <xdr:to>
      <xdr:col>8</xdr:col>
      <xdr:colOff>670560</xdr:colOff>
      <xdr:row>98</xdr:row>
      <xdr:rowOff>111760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xmlns="" id="{2E89B7A5-725D-E34C-983F-78DBBCC3CA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331"/>
  <sheetViews>
    <sheetView tabSelected="1" topLeftCell="A133" workbookViewId="0">
      <selection activeCell="I158" sqref="I158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9" max="9" width="12.1640625" bestFit="1" customWidth="1"/>
    <col min="10" max="10" width="12.83203125" bestFit="1" customWidth="1"/>
  </cols>
  <sheetData>
    <row r="3" spans="1:12">
      <c r="B3" s="23" t="s">
        <v>0</v>
      </c>
      <c r="C3" s="23" t="s">
        <v>1</v>
      </c>
      <c r="F3" s="24" t="s">
        <v>8</v>
      </c>
      <c r="G3" s="22">
        <v>1525</v>
      </c>
      <c r="H3" t="s">
        <v>12</v>
      </c>
    </row>
    <row r="4" spans="1:12">
      <c r="B4" s="22" t="s">
        <v>2</v>
      </c>
      <c r="C4" s="22">
        <v>1585.9</v>
      </c>
      <c r="F4" s="24" t="s">
        <v>9</v>
      </c>
      <c r="G4" s="22">
        <v>1700</v>
      </c>
      <c r="H4" t="s">
        <v>12</v>
      </c>
    </row>
    <row r="5" spans="1:12">
      <c r="B5" s="22" t="s">
        <v>3</v>
      </c>
      <c r="C5" s="22">
        <v>773.5</v>
      </c>
      <c r="F5" s="24" t="s">
        <v>10</v>
      </c>
      <c r="G5" s="22">
        <v>1790</v>
      </c>
      <c r="H5" t="s">
        <v>12</v>
      </c>
    </row>
    <row r="6" spans="1:12">
      <c r="B6" s="22" t="s">
        <v>5</v>
      </c>
      <c r="C6" s="22">
        <v>1577</v>
      </c>
      <c r="F6" s="24" t="s">
        <v>11</v>
      </c>
      <c r="G6" s="22">
        <v>1498</v>
      </c>
      <c r="H6" t="s">
        <v>12</v>
      </c>
    </row>
    <row r="7" spans="1:12">
      <c r="B7" s="22" t="s">
        <v>6</v>
      </c>
      <c r="C7" s="22">
        <v>48.8</v>
      </c>
      <c r="F7" s="24" t="s">
        <v>13</v>
      </c>
      <c r="G7" s="22">
        <v>998.3</v>
      </c>
      <c r="H7" t="s">
        <v>12</v>
      </c>
    </row>
    <row r="8" spans="1:12">
      <c r="B8" s="22" t="s">
        <v>7</v>
      </c>
      <c r="C8" s="22">
        <v>11801.4</v>
      </c>
      <c r="F8" s="24" t="s">
        <v>14</v>
      </c>
      <c r="G8" s="22">
        <v>1.003E-3</v>
      </c>
      <c r="H8" t="s">
        <v>15</v>
      </c>
    </row>
    <row r="9" spans="1:12">
      <c r="B9" s="22" t="s">
        <v>4</v>
      </c>
      <c r="C9" s="22">
        <f>SUM(C4:C8)</f>
        <v>15786.6</v>
      </c>
    </row>
    <row r="10" spans="1:12">
      <c r="B10" s="22" t="s">
        <v>129</v>
      </c>
      <c r="C10" s="22">
        <v>1000</v>
      </c>
    </row>
    <row r="11" spans="1:12">
      <c r="B11" s="22" t="s">
        <v>130</v>
      </c>
      <c r="C11" s="22">
        <v>1000</v>
      </c>
    </row>
    <row r="13" spans="1:12" ht="21">
      <c r="A13" s="26" t="s">
        <v>16</v>
      </c>
    </row>
    <row r="15" spans="1:12">
      <c r="A15" s="2" t="s">
        <v>18</v>
      </c>
      <c r="C15" s="3" t="s">
        <v>19</v>
      </c>
      <c r="L15" t="s">
        <v>42</v>
      </c>
    </row>
    <row r="16" spans="1:12">
      <c r="A16" s="2"/>
      <c r="C16" s="3"/>
    </row>
    <row r="17" spans="1:15" ht="19">
      <c r="A17" s="2"/>
      <c r="B17" s="25" t="s">
        <v>30</v>
      </c>
      <c r="C17" s="3"/>
      <c r="M17" s="1" t="s">
        <v>30</v>
      </c>
    </row>
    <row r="19" spans="1:15">
      <c r="A19" t="s">
        <v>21</v>
      </c>
      <c r="D19" t="s">
        <v>167</v>
      </c>
      <c r="E19" s="6">
        <f>(C9+C10)/J21</f>
        <v>15.288336475873257</v>
      </c>
      <c r="F19" t="s">
        <v>26</v>
      </c>
      <c r="L19" t="s">
        <v>43</v>
      </c>
      <c r="M19">
        <f>(SUM(C5:C8))+C10+C11</f>
        <v>16200.7</v>
      </c>
      <c r="N19" t="s">
        <v>44</v>
      </c>
    </row>
    <row r="20" spans="1:15">
      <c r="L20" t="s">
        <v>20</v>
      </c>
      <c r="M20" s="5">
        <f>M19/N21</f>
        <v>15.404061717163341</v>
      </c>
      <c r="N20" t="s">
        <v>26</v>
      </c>
    </row>
    <row r="21" spans="1:15">
      <c r="A21" t="s">
        <v>22</v>
      </c>
      <c r="H21" t="s">
        <v>23</v>
      </c>
      <c r="J21" s="6">
        <f>(C9+C10)/H23</f>
        <v>1098.0004283978949</v>
      </c>
      <c r="K21" t="s">
        <v>12</v>
      </c>
      <c r="L21" t="s">
        <v>110</v>
      </c>
      <c r="N21" s="6">
        <f>M19/((C5/G6)+(C6/G3)+(C7/G4)+((C8+C10+C11)/G7))</f>
        <v>1051.7161186097455</v>
      </c>
      <c r="O21" t="s">
        <v>12</v>
      </c>
    </row>
    <row r="23" spans="1:15">
      <c r="A23" t="s">
        <v>163</v>
      </c>
      <c r="B23" s="6">
        <f>(C9+C10)/J21</f>
        <v>15.288336475873257</v>
      </c>
      <c r="C23" t="s">
        <v>164</v>
      </c>
      <c r="H23">
        <f>(C4/G5)+(C5/G6)+(C6/G3)+(C7/G4)+((C8+1000)/G7)</f>
        <v>15.288336475873258</v>
      </c>
      <c r="L23" t="s">
        <v>165</v>
      </c>
      <c r="M23" s="5">
        <f>M19/N21</f>
        <v>15.404061717163341</v>
      </c>
      <c r="N23" t="s">
        <v>29</v>
      </c>
    </row>
    <row r="25" spans="1:15">
      <c r="A25" t="s">
        <v>24</v>
      </c>
      <c r="C25" s="5">
        <f>C4/B23</f>
        <v>103.73267245280293</v>
      </c>
      <c r="D25" t="s">
        <v>172</v>
      </c>
      <c r="L25" t="s">
        <v>45</v>
      </c>
      <c r="N25" s="5">
        <f>C5/M23</f>
        <v>50.21402888422341</v>
      </c>
      <c r="O25" t="s">
        <v>46</v>
      </c>
    </row>
    <row r="26" spans="1:15">
      <c r="A26" t="s">
        <v>170</v>
      </c>
      <c r="B26">
        <f>970</f>
        <v>970</v>
      </c>
      <c r="C26" t="s">
        <v>12</v>
      </c>
      <c r="L26" t="s">
        <v>170</v>
      </c>
      <c r="N26">
        <v>1550</v>
      </c>
      <c r="O26" t="s">
        <v>12</v>
      </c>
    </row>
    <row r="27" spans="1:15">
      <c r="A27" t="s">
        <v>169</v>
      </c>
      <c r="C27" s="5">
        <v>2</v>
      </c>
      <c r="D27" t="s">
        <v>171</v>
      </c>
      <c r="L27" t="s">
        <v>47</v>
      </c>
      <c r="N27" s="6">
        <f>C27</f>
        <v>2</v>
      </c>
      <c r="O27" t="s">
        <v>173</v>
      </c>
    </row>
    <row r="28" spans="1:15">
      <c r="C28" s="5"/>
    </row>
    <row r="29" spans="1:15">
      <c r="A29" t="s">
        <v>27</v>
      </c>
      <c r="B29">
        <v>8</v>
      </c>
      <c r="C29" s="5" t="s">
        <v>28</v>
      </c>
      <c r="N29" s="5"/>
    </row>
    <row r="31" spans="1:15">
      <c r="A31" s="7" t="s">
        <v>25</v>
      </c>
      <c r="B31" s="8">
        <f>(E19*C25*B29)/(B26*C27)</f>
        <v>6.5397938144329899</v>
      </c>
      <c r="C31" s="7" t="s">
        <v>29</v>
      </c>
      <c r="L31" s="10" t="s">
        <v>48</v>
      </c>
      <c r="M31" s="10"/>
      <c r="N31" s="11">
        <f>(M20*N25*B29)/(N26*N27)</f>
        <v>1.9961290322580645</v>
      </c>
      <c r="O31" s="10" t="s">
        <v>29</v>
      </c>
    </row>
    <row r="33" spans="1:14">
      <c r="B33" s="1" t="s">
        <v>31</v>
      </c>
      <c r="M33" s="1" t="s">
        <v>31</v>
      </c>
    </row>
    <row r="35" spans="1:14">
      <c r="A35" t="s">
        <v>35</v>
      </c>
      <c r="B35" s="5">
        <f>(E19/3600)/B37</f>
        <v>0.84935202643740304</v>
      </c>
      <c r="C35" t="s">
        <v>49</v>
      </c>
      <c r="L35" t="s">
        <v>40</v>
      </c>
      <c r="M35" s="5">
        <f>(M20/3600)/M37</f>
        <v>0.85578120650907452</v>
      </c>
      <c r="N35" t="s">
        <v>49</v>
      </c>
    </row>
    <row r="37" spans="1:14">
      <c r="A37" t="s">
        <v>32</v>
      </c>
      <c r="B37">
        <v>5.0000000000000001E-3</v>
      </c>
      <c r="C37" t="s">
        <v>33</v>
      </c>
      <c r="D37" t="s">
        <v>34</v>
      </c>
      <c r="L37" t="s">
        <v>32</v>
      </c>
      <c r="M37">
        <f>0.005</f>
        <v>5.0000000000000001E-3</v>
      </c>
      <c r="N37" t="s">
        <v>33</v>
      </c>
    </row>
    <row r="39" spans="1:14">
      <c r="A39" t="s">
        <v>36</v>
      </c>
      <c r="B39" s="5">
        <f>SQRT((4*B35)/3.1416)</f>
        <v>1.0399163709724475</v>
      </c>
      <c r="C39" t="s">
        <v>37</v>
      </c>
      <c r="L39" t="s">
        <v>39</v>
      </c>
      <c r="M39" s="5">
        <f>SQRT((4*M35)/3.1416)</f>
        <v>1.0438447805022844</v>
      </c>
      <c r="N39" t="s">
        <v>37</v>
      </c>
    </row>
    <row r="41" spans="1:14">
      <c r="A41" t="s">
        <v>38</v>
      </c>
      <c r="C41">
        <f>0.15</f>
        <v>0.15</v>
      </c>
    </row>
    <row r="43" spans="1:14">
      <c r="A43" s="7" t="s">
        <v>39</v>
      </c>
      <c r="B43" s="9">
        <f>B39*(1+C41)</f>
        <v>1.1959038266183146</v>
      </c>
      <c r="C43" s="7" t="s">
        <v>37</v>
      </c>
      <c r="L43" s="10" t="s">
        <v>39</v>
      </c>
      <c r="M43" s="11">
        <f>M39*(1+C41)</f>
        <v>1.2004214975776268</v>
      </c>
      <c r="N43" s="10" t="s">
        <v>37</v>
      </c>
    </row>
    <row r="44" spans="1:14">
      <c r="A44" s="7" t="s">
        <v>40</v>
      </c>
      <c r="B44" s="9">
        <f>B35*(1+C41)</f>
        <v>0.97675483040301347</v>
      </c>
      <c r="C44" s="7" t="s">
        <v>49</v>
      </c>
      <c r="L44" s="10" t="s">
        <v>40</v>
      </c>
      <c r="M44" s="11">
        <f>M35*(1+C41)</f>
        <v>0.98414838748543565</v>
      </c>
      <c r="N44" s="10" t="s">
        <v>49</v>
      </c>
    </row>
    <row r="47" spans="1:14">
      <c r="B47" s="1" t="s">
        <v>50</v>
      </c>
      <c r="M47" s="1" t="s">
        <v>50</v>
      </c>
    </row>
    <row r="49" spans="1:16">
      <c r="A49" s="7" t="s">
        <v>51</v>
      </c>
      <c r="B49" s="9">
        <f>B31/B44</f>
        <v>6.6954302255507061</v>
      </c>
      <c r="C49" s="7" t="s">
        <v>37</v>
      </c>
      <c r="L49" s="10" t="s">
        <v>28</v>
      </c>
      <c r="M49" s="11">
        <f>N31/M44</f>
        <v>2.02828054960117</v>
      </c>
      <c r="N49" s="10" t="s">
        <v>37</v>
      </c>
    </row>
    <row r="52" spans="1:16">
      <c r="B52" s="1" t="s">
        <v>41</v>
      </c>
      <c r="M52" s="1" t="s">
        <v>41</v>
      </c>
    </row>
    <row r="54" spans="1:16">
      <c r="A54" t="s">
        <v>90</v>
      </c>
      <c r="L54" t="s">
        <v>105</v>
      </c>
    </row>
    <row r="56" spans="1:16">
      <c r="A56" t="s">
        <v>89</v>
      </c>
    </row>
    <row r="57" spans="1:16">
      <c r="A57" t="s">
        <v>91</v>
      </c>
      <c r="B57" s="15">
        <v>6.4999999999999994E-5</v>
      </c>
      <c r="C57" t="s">
        <v>37</v>
      </c>
      <c r="L57" t="s">
        <v>91</v>
      </c>
      <c r="M57" s="15">
        <v>7.4999999999999993E-5</v>
      </c>
      <c r="O57" t="s">
        <v>94</v>
      </c>
      <c r="P57">
        <f>(M57*B60*B58)/B59</f>
        <v>0.37324277168494513</v>
      </c>
    </row>
    <row r="58" spans="1:16">
      <c r="A58" t="s">
        <v>92</v>
      </c>
      <c r="B58">
        <f>G7</f>
        <v>998.3</v>
      </c>
      <c r="C58" t="s">
        <v>12</v>
      </c>
      <c r="D58" t="s">
        <v>94</v>
      </c>
      <c r="E58" s="5">
        <f>(B57*B60*B58)/B59</f>
        <v>0.32347706879361909</v>
      </c>
      <c r="F58" t="s">
        <v>95</v>
      </c>
    </row>
    <row r="59" spans="1:16">
      <c r="A59" t="s">
        <v>93</v>
      </c>
      <c r="B59">
        <f>G8</f>
        <v>1.003E-3</v>
      </c>
      <c r="C59" t="s">
        <v>15</v>
      </c>
    </row>
    <row r="60" spans="1:16">
      <c r="A60" t="s">
        <v>32</v>
      </c>
      <c r="B60">
        <f>B37</f>
        <v>5.0000000000000001E-3</v>
      </c>
      <c r="C60" t="s">
        <v>33</v>
      </c>
    </row>
    <row r="62" spans="1:16">
      <c r="A62" t="s">
        <v>96</v>
      </c>
      <c r="D62" t="s">
        <v>100</v>
      </c>
      <c r="L62" t="s">
        <v>106</v>
      </c>
    </row>
    <row r="63" spans="1:16">
      <c r="A63" t="s">
        <v>97</v>
      </c>
      <c r="B63">
        <v>0.45</v>
      </c>
    </row>
    <row r="64" spans="1:16">
      <c r="A64" t="s">
        <v>101</v>
      </c>
      <c r="B64" s="15">
        <f>(150*(1-B63)^2*B60*B59)/((B57^2)*(B63^3))</f>
        <v>591048.77395475702</v>
      </c>
      <c r="C64" t="s">
        <v>98</v>
      </c>
      <c r="D64" t="s">
        <v>99</v>
      </c>
      <c r="E64" s="15">
        <f>B64*B65</f>
        <v>3957325.8259113673</v>
      </c>
      <c r="F64" t="s">
        <v>102</v>
      </c>
      <c r="G64" s="13" t="s">
        <v>104</v>
      </c>
      <c r="L64" t="s">
        <v>174</v>
      </c>
      <c r="M64" s="15">
        <f>(150*(1-B63)^2*B60*B59)/((M57^2)*(B63^3))</f>
        <v>443943.30132601748</v>
      </c>
      <c r="N64" t="s">
        <v>98</v>
      </c>
    </row>
    <row r="65" spans="1:13">
      <c r="A65" t="s">
        <v>20</v>
      </c>
      <c r="B65" s="5">
        <f>B49</f>
        <v>6.6954302255507061</v>
      </c>
      <c r="C65" t="s">
        <v>37</v>
      </c>
      <c r="E65" s="16">
        <f>E64*0.00001</f>
        <v>39.573258259113679</v>
      </c>
      <c r="F65" t="s">
        <v>103</v>
      </c>
      <c r="L65" t="s">
        <v>20</v>
      </c>
      <c r="M65" s="5">
        <f>M49</f>
        <v>2.02828054960117</v>
      </c>
    </row>
    <row r="66" spans="1:13">
      <c r="L66" t="s">
        <v>175</v>
      </c>
      <c r="M66" s="15">
        <f>M64*M65</f>
        <v>900441.56320529256</v>
      </c>
    </row>
    <row r="67" spans="1:13">
      <c r="M67" s="16">
        <f>M66*0.00001</f>
        <v>9.0044156320529272</v>
      </c>
    </row>
    <row r="68" spans="1:13">
      <c r="A68" s="1" t="s">
        <v>17</v>
      </c>
      <c r="D68" t="s">
        <v>68</v>
      </c>
    </row>
    <row r="70" spans="1:13">
      <c r="A70" s="2" t="s">
        <v>52</v>
      </c>
      <c r="D70" t="s">
        <v>69</v>
      </c>
    </row>
    <row r="72" spans="1:13">
      <c r="B72" t="s">
        <v>64</v>
      </c>
    </row>
    <row r="74" spans="1:13">
      <c r="A74" t="s">
        <v>53</v>
      </c>
      <c r="B74">
        <f>C9</f>
        <v>15786.6</v>
      </c>
      <c r="C74" t="s">
        <v>44</v>
      </c>
      <c r="D74" s="5">
        <f>B74/3600</f>
        <v>4.3851666666666667</v>
      </c>
      <c r="E74" t="s">
        <v>57</v>
      </c>
      <c r="F74">
        <f>D74/B75</f>
        <v>3.9685093280421918E-3</v>
      </c>
    </row>
    <row r="75" spans="1:13">
      <c r="A75" t="s">
        <v>54</v>
      </c>
      <c r="B75" s="6">
        <f>C9/((C4/G5)+(C5/G6)+(C6/G3)+(C7/G4)+(C8/G7))</f>
        <v>1104.9908930994063</v>
      </c>
      <c r="C75" t="s">
        <v>12</v>
      </c>
    </row>
    <row r="77" spans="1:13">
      <c r="A77" s="7" t="s">
        <v>55</v>
      </c>
      <c r="B77" s="9">
        <f>10.74*((D74^0.1)/(B75^0.36))</f>
        <v>0.9990650357224129</v>
      </c>
      <c r="C77" s="7" t="s">
        <v>33</v>
      </c>
    </row>
    <row r="79" spans="1:13">
      <c r="A79" s="7" t="s">
        <v>56</v>
      </c>
      <c r="B79" s="20">
        <f>SQRT((4*D74)/(3.1416*B75*B77))</f>
        <v>7.1116663665003299E-2</v>
      </c>
      <c r="C79" s="7" t="s">
        <v>37</v>
      </c>
      <c r="D79" s="9">
        <f>B79/0.0254</f>
        <v>2.7998686482284763</v>
      </c>
      <c r="E79" s="7" t="s">
        <v>58</v>
      </c>
      <c r="F79" s="12" t="s">
        <v>59</v>
      </c>
      <c r="G79" s="7" t="s">
        <v>60</v>
      </c>
      <c r="H79" s="7">
        <v>3</v>
      </c>
      <c r="I79" s="7" t="s">
        <v>58</v>
      </c>
      <c r="J79" s="7">
        <f>H79*0.0254</f>
        <v>7.619999999999999E-2</v>
      </c>
      <c r="K79" s="7" t="s">
        <v>37</v>
      </c>
    </row>
    <row r="81" spans="1:11">
      <c r="A81" t="s">
        <v>61</v>
      </c>
    </row>
    <row r="83" spans="1:11">
      <c r="A83" s="7" t="s">
        <v>62</v>
      </c>
      <c r="B83" s="7"/>
      <c r="C83" s="7"/>
      <c r="D83" s="9">
        <f>(D74/B75)/(3.1416/4*(J79^2))</f>
        <v>0.87021500167910493</v>
      </c>
      <c r="E83" s="7" t="s">
        <v>33</v>
      </c>
    </row>
    <row r="84" spans="1:11">
      <c r="H84">
        <f>39.57/1105</f>
        <v>3.5809954751131225E-2</v>
      </c>
    </row>
    <row r="86" spans="1:11">
      <c r="B86" t="s">
        <v>63</v>
      </c>
    </row>
    <row r="87" spans="1:11">
      <c r="A87" s="13" t="s">
        <v>127</v>
      </c>
      <c r="B87" s="13"/>
      <c r="C87" s="13"/>
    </row>
    <row r="88" spans="1:11">
      <c r="A88" t="s">
        <v>73</v>
      </c>
      <c r="B88" s="13">
        <v>1000</v>
      </c>
      <c r="C88" t="s">
        <v>44</v>
      </c>
      <c r="D88" s="5">
        <f>B88/3600</f>
        <v>0.27777777777777779</v>
      </c>
      <c r="E88" t="s">
        <v>57</v>
      </c>
      <c r="F88">
        <f>D88/B89</f>
        <v>2.7825080414482399E-4</v>
      </c>
    </row>
    <row r="89" spans="1:11">
      <c r="A89" t="s">
        <v>107</v>
      </c>
      <c r="B89">
        <f>G7</f>
        <v>998.3</v>
      </c>
      <c r="C89" t="s">
        <v>12</v>
      </c>
    </row>
    <row r="91" spans="1:11">
      <c r="A91" t="s">
        <v>55</v>
      </c>
      <c r="B91" s="5">
        <f>10.74*((D88^0.1)/(B89^0.36))</f>
        <v>0.7863937363807435</v>
      </c>
      <c r="C91" t="s">
        <v>33</v>
      </c>
    </row>
    <row r="93" spans="1:11">
      <c r="A93" t="s">
        <v>56</v>
      </c>
      <c r="B93" s="4">
        <f>SQRT((4*D88)/(3.1416*B89*B91))</f>
        <v>2.1225246505524833E-2</v>
      </c>
      <c r="C93" t="s">
        <v>37</v>
      </c>
      <c r="D93" s="5">
        <f>B93/0.0254</f>
        <v>0.83563962620176513</v>
      </c>
      <c r="E93" t="s">
        <v>58</v>
      </c>
      <c r="F93" t="s">
        <v>74</v>
      </c>
      <c r="G93" t="s">
        <v>39</v>
      </c>
      <c r="H93">
        <v>1</v>
      </c>
      <c r="I93" t="s">
        <v>58</v>
      </c>
      <c r="J93">
        <f>H93*0.0254</f>
        <v>2.5399999999999999E-2</v>
      </c>
      <c r="K93" t="s">
        <v>37</v>
      </c>
    </row>
    <row r="95" spans="1:11">
      <c r="A95" t="s">
        <v>126</v>
      </c>
    </row>
    <row r="97" spans="1:11">
      <c r="A97" t="s">
        <v>77</v>
      </c>
      <c r="B97" s="5">
        <f>(D88/B89)/((3.1416*(J93^2))/4)</f>
        <v>0.54913370130340622</v>
      </c>
      <c r="C97" t="s">
        <v>33</v>
      </c>
    </row>
    <row r="99" spans="1:11">
      <c r="B99" t="s">
        <v>65</v>
      </c>
    </row>
    <row r="101" spans="1:11">
      <c r="A101" t="s">
        <v>66</v>
      </c>
      <c r="B101">
        <f>C4</f>
        <v>1585.9</v>
      </c>
      <c r="C101" t="s">
        <v>67</v>
      </c>
      <c r="D101" s="5">
        <f>B101/3600</f>
        <v>0.4405277777777778</v>
      </c>
      <c r="E101" t="s">
        <v>57</v>
      </c>
      <c r="F101" s="15">
        <f>D101/B102</f>
        <v>2.4610490378646806E-4</v>
      </c>
    </row>
    <row r="102" spans="1:11">
      <c r="A102" s="17" t="s">
        <v>108</v>
      </c>
      <c r="B102" s="17">
        <f>G5</f>
        <v>1790</v>
      </c>
      <c r="C102" s="17" t="s">
        <v>12</v>
      </c>
    </row>
    <row r="104" spans="1:11">
      <c r="A104" t="s">
        <v>55</v>
      </c>
      <c r="B104" s="5">
        <f>10.74*((D101^0.1)/(B102^0.36))</f>
        <v>0.66738204756260122</v>
      </c>
      <c r="C104" t="s">
        <v>33</v>
      </c>
    </row>
    <row r="106" spans="1:11">
      <c r="A106" t="s">
        <v>56</v>
      </c>
      <c r="B106" s="4">
        <f>SQRT((4*D101)/(3.1416*B102*B104))</f>
        <v>2.1668428993058347E-2</v>
      </c>
      <c r="C106" t="s">
        <v>37</v>
      </c>
      <c r="D106" s="5">
        <f>B106/0.0254</f>
        <v>0.85308775563221839</v>
      </c>
      <c r="E106" t="s">
        <v>58</v>
      </c>
      <c r="F106" t="s">
        <v>70</v>
      </c>
      <c r="G106" t="s">
        <v>60</v>
      </c>
      <c r="H106" s="5">
        <v>1</v>
      </c>
      <c r="I106" t="s">
        <v>58</v>
      </c>
      <c r="J106" s="4">
        <f>H106*0.0254</f>
        <v>2.5399999999999999E-2</v>
      </c>
      <c r="K106" t="s">
        <v>37</v>
      </c>
    </row>
    <row r="108" spans="1:11">
      <c r="A108" t="s">
        <v>109</v>
      </c>
    </row>
    <row r="110" spans="1:11">
      <c r="A110" t="s">
        <v>77</v>
      </c>
      <c r="B110" s="5">
        <f>(D101/B102)/((3.1416*(J106^2))/4)</f>
        <v>0.48569310389069659</v>
      </c>
    </row>
    <row r="114" spans="1:11">
      <c r="B114" t="s">
        <v>71</v>
      </c>
    </row>
    <row r="116" spans="1:11">
      <c r="A116" t="s">
        <v>72</v>
      </c>
      <c r="B116">
        <f>(SUM(C5:C8))+C10</f>
        <v>15200.7</v>
      </c>
      <c r="C116" t="s">
        <v>44</v>
      </c>
      <c r="D116" s="5">
        <f>B116/3600</f>
        <v>4.2224166666666667</v>
      </c>
      <c r="E116" t="s">
        <v>57</v>
      </c>
      <c r="F116" t="s">
        <v>111</v>
      </c>
      <c r="G116" s="5">
        <f>B116/((C5/G6)+(C6/G3)+(C7/G4)+((C8+C10)/G7))</f>
        <v>1055.4312795293731</v>
      </c>
      <c r="H116" t="s">
        <v>12</v>
      </c>
      <c r="I116" s="15">
        <f>D116/G116</f>
        <v>4.0006552284005481E-3</v>
      </c>
    </row>
    <row r="117" spans="1:11">
      <c r="B117" s="13" t="s">
        <v>128</v>
      </c>
      <c r="C117" s="13"/>
    </row>
    <row r="119" spans="1:11">
      <c r="A119" t="s">
        <v>55</v>
      </c>
      <c r="B119" s="5">
        <f>10.74*((D116^0.1)/(G116^0.36))</f>
        <v>1.0118720595939508</v>
      </c>
      <c r="C119" t="s">
        <v>33</v>
      </c>
    </row>
    <row r="121" spans="1:11">
      <c r="A121" t="s">
        <v>56</v>
      </c>
      <c r="B121" s="5">
        <f>SQRT((4*D116)/(3.1416*G116*B119))</f>
        <v>7.0950802586197625E-2</v>
      </c>
      <c r="C121" t="s">
        <v>37</v>
      </c>
      <c r="D121" s="5">
        <f>B121/0.0254</f>
        <v>2.7933386844959696</v>
      </c>
      <c r="E121" t="s">
        <v>58</v>
      </c>
      <c r="F121" s="5" t="s">
        <v>74</v>
      </c>
      <c r="G121" t="s">
        <v>39</v>
      </c>
      <c r="H121">
        <f>3</f>
        <v>3</v>
      </c>
      <c r="I121" t="s">
        <v>58</v>
      </c>
      <c r="J121">
        <f>H121*0.0254</f>
        <v>7.619999999999999E-2</v>
      </c>
      <c r="K121" t="s">
        <v>37</v>
      </c>
    </row>
    <row r="123" spans="1:11">
      <c r="A123" t="s">
        <v>61</v>
      </c>
    </row>
    <row r="125" spans="1:11">
      <c r="A125" t="s">
        <v>75</v>
      </c>
      <c r="B125" s="5">
        <f>(D116/G116)/((3.1416*J121^2)/4)</f>
        <v>0.87726395694718384</v>
      </c>
      <c r="C125" t="s">
        <v>33</v>
      </c>
    </row>
    <row r="128" spans="1:11">
      <c r="B128" t="s">
        <v>79</v>
      </c>
    </row>
    <row r="130" spans="1:11">
      <c r="A130" t="s">
        <v>76</v>
      </c>
      <c r="B130">
        <f>C5</f>
        <v>773.5</v>
      </c>
      <c r="C130" t="s">
        <v>44</v>
      </c>
      <c r="D130" s="5">
        <f>B130/3600</f>
        <v>0.21486111111111111</v>
      </c>
      <c r="E130" t="s">
        <v>57</v>
      </c>
      <c r="F130" t="s">
        <v>11</v>
      </c>
      <c r="G130">
        <f>G6</f>
        <v>1498</v>
      </c>
      <c r="H130" t="s">
        <v>12</v>
      </c>
      <c r="I130" s="15">
        <f>D130/G130</f>
        <v>1.4343198338525443E-4</v>
      </c>
    </row>
    <row r="133" spans="1:11">
      <c r="A133" t="s">
        <v>55</v>
      </c>
      <c r="B133" s="5">
        <f>10.74*((D130^0.1)/(G130^0.36))</f>
        <v>0.66227110981995063</v>
      </c>
      <c r="C133" t="s">
        <v>33</v>
      </c>
    </row>
    <row r="136" spans="1:11">
      <c r="A136" t="s">
        <v>56</v>
      </c>
      <c r="B136" s="4">
        <f>SQRT((4*D130)/(3.1416*G130*B133))</f>
        <v>1.6605794087248198E-2</v>
      </c>
      <c r="C136" t="s">
        <v>37</v>
      </c>
      <c r="D136" s="5">
        <f>B136/0.0254</f>
        <v>0.65377142075780315</v>
      </c>
      <c r="E136" t="s">
        <v>58</v>
      </c>
      <c r="F136" t="s">
        <v>74</v>
      </c>
      <c r="G136" t="s">
        <v>39</v>
      </c>
      <c r="H136" s="16">
        <f>3/4</f>
        <v>0.75</v>
      </c>
      <c r="I136" t="s">
        <v>58</v>
      </c>
      <c r="J136" s="4">
        <f>H136*0.0254</f>
        <v>1.9049999999999997E-2</v>
      </c>
      <c r="K136" t="s">
        <v>37</v>
      </c>
    </row>
    <row r="138" spans="1:11">
      <c r="A138" t="s">
        <v>61</v>
      </c>
    </row>
    <row r="140" spans="1:11">
      <c r="A140" t="s">
        <v>77</v>
      </c>
      <c r="B140" s="5">
        <f>(D130/G130)/((3.1416*J136^2)/4)</f>
        <v>0.50322840480362663</v>
      </c>
      <c r="C140" t="s">
        <v>33</v>
      </c>
    </row>
    <row r="142" spans="1:11">
      <c r="B142" t="s">
        <v>131</v>
      </c>
    </row>
    <row r="144" spans="1:11">
      <c r="B144" t="s">
        <v>134</v>
      </c>
    </row>
    <row r="145" spans="1:11">
      <c r="A145" t="s">
        <v>132</v>
      </c>
      <c r="B145">
        <f>C11</f>
        <v>1000</v>
      </c>
      <c r="C145" t="s">
        <v>44</v>
      </c>
      <c r="D145">
        <f>B145/3600</f>
        <v>0.27777777777777779</v>
      </c>
      <c r="E145" t="s">
        <v>57</v>
      </c>
      <c r="F145" t="s">
        <v>133</v>
      </c>
      <c r="G145">
        <f>G7</f>
        <v>998.3</v>
      </c>
      <c r="H145" t="s">
        <v>12</v>
      </c>
    </row>
    <row r="147" spans="1:11">
      <c r="A147" t="s">
        <v>55</v>
      </c>
      <c r="B147" s="5">
        <f>B91</f>
        <v>0.7863937363807435</v>
      </c>
      <c r="C147" t="s">
        <v>33</v>
      </c>
    </row>
    <row r="149" spans="1:11">
      <c r="A149" t="s">
        <v>56</v>
      </c>
      <c r="B149" s="4">
        <f>B93</f>
        <v>2.1225246505524833E-2</v>
      </c>
      <c r="C149" t="s">
        <v>37</v>
      </c>
      <c r="D149">
        <f>B149/0.0254</f>
        <v>0.83563962620176513</v>
      </c>
      <c r="E149" t="s">
        <v>58</v>
      </c>
      <c r="F149" t="s">
        <v>74</v>
      </c>
      <c r="G149" t="s">
        <v>39</v>
      </c>
      <c r="H149">
        <v>1</v>
      </c>
      <c r="I149" t="s">
        <v>58</v>
      </c>
      <c r="J149">
        <f>H149*0.0254</f>
        <v>2.5399999999999999E-2</v>
      </c>
      <c r="K149" t="s">
        <v>37</v>
      </c>
    </row>
    <row r="151" spans="1:11">
      <c r="A151" t="s">
        <v>126</v>
      </c>
    </row>
    <row r="153" spans="1:11">
      <c r="A153" t="s">
        <v>77</v>
      </c>
      <c r="B153" s="5">
        <f>B97</f>
        <v>0.54913370130340622</v>
      </c>
      <c r="C153" t="s">
        <v>33</v>
      </c>
    </row>
    <row r="156" spans="1:11">
      <c r="B156" t="s">
        <v>78</v>
      </c>
    </row>
    <row r="158" spans="1:11">
      <c r="A158" t="s">
        <v>80</v>
      </c>
      <c r="B158">
        <f>(SUM(C6:C8))+C10+C11</f>
        <v>15427.199999999999</v>
      </c>
      <c r="C158" t="s">
        <v>44</v>
      </c>
      <c r="D158" s="5">
        <f>B158/3600</f>
        <v>4.285333333333333</v>
      </c>
      <c r="E158" t="s">
        <v>57</v>
      </c>
      <c r="F158" t="s">
        <v>112</v>
      </c>
      <c r="G158" s="5">
        <f>B158/((C6/G3)+(C7/G4)+((C8+C10+C11)/G7))</f>
        <v>1036.2375104744401</v>
      </c>
      <c r="H158" t="s">
        <v>12</v>
      </c>
      <c r="I158" s="15">
        <f>D158/G158</f>
        <v>4.1354740491601179E-3</v>
      </c>
    </row>
    <row r="160" spans="1:11">
      <c r="A160" t="s">
        <v>55</v>
      </c>
      <c r="B160" s="5">
        <f>10.74*((D158^0.1)/(G158^0.36))</f>
        <v>1.0200874181621047</v>
      </c>
      <c r="C160" t="s">
        <v>33</v>
      </c>
    </row>
    <row r="162" spans="1:11">
      <c r="A162" t="s">
        <v>56</v>
      </c>
      <c r="B162" s="4">
        <f>SQRT((4*D158)/(3.1416*B160*G158))</f>
        <v>7.184532372511232E-2</v>
      </c>
      <c r="C162" t="s">
        <v>37</v>
      </c>
      <c r="D162" s="5">
        <f>B162/0.0254</f>
        <v>2.8285560521697763</v>
      </c>
      <c r="E162" t="s">
        <v>58</v>
      </c>
      <c r="F162" t="s">
        <v>74</v>
      </c>
      <c r="G162" t="s">
        <v>39</v>
      </c>
      <c r="H162">
        <v>3</v>
      </c>
      <c r="I162" t="s">
        <v>58</v>
      </c>
      <c r="J162">
        <f>H162*0.0254</f>
        <v>7.619999999999999E-2</v>
      </c>
      <c r="K162" t="s">
        <v>37</v>
      </c>
    </row>
    <row r="164" spans="1:11">
      <c r="A164" t="s">
        <v>61</v>
      </c>
    </row>
    <row r="166" spans="1:11">
      <c r="A166" t="s">
        <v>77</v>
      </c>
      <c r="B166" s="5">
        <f>(D158/G158)/((3.1416*J162^2)/4)</f>
        <v>0.90682703734733572</v>
      </c>
      <c r="C166" t="s">
        <v>33</v>
      </c>
    </row>
    <row r="170" spans="1:11">
      <c r="A170" s="14" t="s">
        <v>81</v>
      </c>
    </row>
    <row r="178" spans="1:3">
      <c r="A178" t="s">
        <v>82</v>
      </c>
    </row>
    <row r="179" spans="1:3">
      <c r="A179" t="s">
        <v>83</v>
      </c>
      <c r="B179">
        <v>3</v>
      </c>
      <c r="C179" t="s">
        <v>37</v>
      </c>
    </row>
    <row r="180" spans="1:3">
      <c r="A180" t="s">
        <v>84</v>
      </c>
    </row>
    <row r="182" spans="1:3">
      <c r="A182" t="s">
        <v>85</v>
      </c>
    </row>
    <row r="188" spans="1:3">
      <c r="A188" t="s">
        <v>86</v>
      </c>
      <c r="B188">
        <v>9.81</v>
      </c>
      <c r="C188" t="s">
        <v>87</v>
      </c>
    </row>
    <row r="189" spans="1:3">
      <c r="A189" t="s">
        <v>88</v>
      </c>
    </row>
    <row r="220" spans="1:7">
      <c r="B220" t="s">
        <v>64</v>
      </c>
    </row>
    <row r="221" spans="1:7">
      <c r="A221" t="s">
        <v>121</v>
      </c>
      <c r="B221">
        <v>3</v>
      </c>
      <c r="C221" t="s">
        <v>37</v>
      </c>
      <c r="E221" t="s">
        <v>99</v>
      </c>
      <c r="F221" s="15">
        <f>E64</f>
        <v>3957325.8259113673</v>
      </c>
      <c r="G221" t="s">
        <v>15</v>
      </c>
    </row>
    <row r="222" spans="1:7">
      <c r="A222" t="s">
        <v>86</v>
      </c>
      <c r="B222">
        <v>9.81</v>
      </c>
      <c r="C222" t="s">
        <v>87</v>
      </c>
      <c r="E222" t="s">
        <v>252</v>
      </c>
      <c r="F222" s="15">
        <f>F221/C227</f>
        <v>3581.3198557785413</v>
      </c>
      <c r="G222" t="s">
        <v>125</v>
      </c>
    </row>
    <row r="223" spans="1:7">
      <c r="A223" t="s">
        <v>77</v>
      </c>
      <c r="B223" s="5">
        <f>D83</f>
        <v>0.87021500167910493</v>
      </c>
      <c r="C223" t="s">
        <v>33</v>
      </c>
    </row>
    <row r="224" spans="1:7">
      <c r="A224" s="13" t="s">
        <v>20</v>
      </c>
      <c r="B224" s="13">
        <f>15</f>
        <v>15</v>
      </c>
      <c r="C224" s="13" t="s">
        <v>37</v>
      </c>
      <c r="D224" s="13" t="s">
        <v>113</v>
      </c>
    </row>
    <row r="225" spans="1:7">
      <c r="A225" t="s">
        <v>39</v>
      </c>
      <c r="B225">
        <f>J79</f>
        <v>7.619999999999999E-2</v>
      </c>
      <c r="C225" t="s">
        <v>37</v>
      </c>
    </row>
    <row r="226" spans="1:7">
      <c r="A226" s="7" t="s">
        <v>115</v>
      </c>
      <c r="B226" s="7"/>
      <c r="C226" s="9">
        <f>(C227*B223*B225)/C228</f>
        <v>73053.209844780489</v>
      </c>
    </row>
    <row r="227" spans="1:7">
      <c r="B227" t="s">
        <v>92</v>
      </c>
      <c r="C227" s="6">
        <f>B75</f>
        <v>1104.9908930994063</v>
      </c>
      <c r="D227" t="s">
        <v>12</v>
      </c>
    </row>
    <row r="228" spans="1:7">
      <c r="B228" t="s">
        <v>93</v>
      </c>
      <c r="C228">
        <f>G8</f>
        <v>1.003E-3</v>
      </c>
      <c r="D228" t="s">
        <v>15</v>
      </c>
    </row>
    <row r="229" spans="1:7">
      <c r="A229" t="s">
        <v>117</v>
      </c>
      <c r="B229">
        <f>0.002</f>
        <v>2E-3</v>
      </c>
      <c r="C229" t="s">
        <v>118</v>
      </c>
      <c r="D229">
        <f>B229/1000</f>
        <v>1.9999999999999999E-6</v>
      </c>
      <c r="E229" t="s">
        <v>37</v>
      </c>
    </row>
    <row r="230" spans="1:7">
      <c r="A230" s="7" t="s">
        <v>116</v>
      </c>
      <c r="B230" s="19">
        <f>D229/B225</f>
        <v>2.6246719160104988E-5</v>
      </c>
    </row>
    <row r="231" spans="1:7">
      <c r="A231" s="7" t="s">
        <v>88</v>
      </c>
      <c r="B231" s="7">
        <f>7.5+4*0.7</f>
        <v>10.3</v>
      </c>
    </row>
    <row r="232" spans="1:7">
      <c r="A232" t="s">
        <v>119</v>
      </c>
      <c r="B232" s="18">
        <f>B225/4</f>
        <v>1.9049999999999997E-2</v>
      </c>
      <c r="C232" t="s">
        <v>37</v>
      </c>
    </row>
    <row r="233" spans="1:7">
      <c r="A233" s="7" t="s">
        <v>114</v>
      </c>
      <c r="B233" s="7">
        <v>0.02</v>
      </c>
    </row>
    <row r="234" spans="1:7">
      <c r="A234" s="7" t="s">
        <v>120</v>
      </c>
      <c r="B234" s="9">
        <f>(B221*B222)+(0.5*(B223^2)*(B224/B232)*B233)+(0.5*(B223^2)*B231)</f>
        <v>39.292750444072425</v>
      </c>
      <c r="C234" s="7" t="s">
        <v>125</v>
      </c>
    </row>
    <row r="236" spans="1:7">
      <c r="A236" t="s">
        <v>123</v>
      </c>
      <c r="B236">
        <v>0.7</v>
      </c>
    </row>
    <row r="237" spans="1:7">
      <c r="A237" t="s">
        <v>20</v>
      </c>
      <c r="B237" s="5">
        <f>D74</f>
        <v>4.3851666666666667</v>
      </c>
      <c r="C237" t="s">
        <v>57</v>
      </c>
      <c r="E237" t="s">
        <v>167</v>
      </c>
      <c r="F237" s="15">
        <f>B237/C227</f>
        <v>3.9685093280421918E-3</v>
      </c>
      <c r="G237" t="s">
        <v>168</v>
      </c>
    </row>
    <row r="238" spans="1:7">
      <c r="A238" s="7" t="s">
        <v>122</v>
      </c>
      <c r="B238" s="9">
        <f>B234*(B237/B236)</f>
        <v>246.15037069856896</v>
      </c>
      <c r="C238" s="7" t="s">
        <v>124</v>
      </c>
    </row>
    <row r="241" spans="1:9">
      <c r="B241" t="s">
        <v>135</v>
      </c>
    </row>
    <row r="243" spans="1:9">
      <c r="A243" t="s">
        <v>77</v>
      </c>
      <c r="B243" s="5">
        <f>B97</f>
        <v>0.54913370130340622</v>
      </c>
      <c r="C243" t="s">
        <v>33</v>
      </c>
      <c r="D243" t="s">
        <v>138</v>
      </c>
      <c r="E243" s="5">
        <f>D88</f>
        <v>0.27777777777777779</v>
      </c>
      <c r="F243" t="s">
        <v>57</v>
      </c>
      <c r="G243" t="s">
        <v>167</v>
      </c>
      <c r="H243" s="15">
        <f>E243/B244</f>
        <v>2.7825080414482399E-4</v>
      </c>
      <c r="I243" t="s">
        <v>168</v>
      </c>
    </row>
    <row r="244" spans="1:9">
      <c r="A244" t="s">
        <v>92</v>
      </c>
      <c r="B244">
        <f>B89</f>
        <v>998.3</v>
      </c>
      <c r="C244" t="s">
        <v>12</v>
      </c>
      <c r="D244" t="s">
        <v>93</v>
      </c>
      <c r="E244">
        <f>G8</f>
        <v>1.003E-3</v>
      </c>
      <c r="F244" t="s">
        <v>15</v>
      </c>
    </row>
    <row r="245" spans="1:9">
      <c r="A245" t="s">
        <v>39</v>
      </c>
      <c r="B245">
        <f>J93</f>
        <v>2.5399999999999999E-2</v>
      </c>
      <c r="C245" t="s">
        <v>37</v>
      </c>
    </row>
    <row r="247" spans="1:9">
      <c r="A247" t="s">
        <v>136</v>
      </c>
      <c r="B247">
        <f>(B244*B243*B245)/E244</f>
        <v>13882.636510353175</v>
      </c>
      <c r="D247" t="s">
        <v>137</v>
      </c>
    </row>
    <row r="248" spans="1:9">
      <c r="A248" t="s">
        <v>116</v>
      </c>
      <c r="B248">
        <f>D229/B245</f>
        <v>7.8740157480314957E-5</v>
      </c>
      <c r="D248" t="s">
        <v>114</v>
      </c>
      <c r="E248">
        <f>0.028</f>
        <v>2.8000000000000001E-2</v>
      </c>
    </row>
    <row r="250" spans="1:9">
      <c r="A250" t="s">
        <v>88</v>
      </c>
      <c r="B250">
        <f>7.5+4*0.7</f>
        <v>10.3</v>
      </c>
    </row>
    <row r="251" spans="1:9">
      <c r="A251" t="s">
        <v>119</v>
      </c>
      <c r="B251">
        <f>B245/4</f>
        <v>6.3499999999999997E-3</v>
      </c>
      <c r="C251" t="s">
        <v>37</v>
      </c>
    </row>
    <row r="253" spans="1:9">
      <c r="A253" t="s">
        <v>120</v>
      </c>
      <c r="B253">
        <f>(B221*B222)+(0.5*(B243^2)*(B224/B251)*E248)+(0.5*(B243^2)*B250)</f>
        <v>40.955418936445199</v>
      </c>
      <c r="C253" t="s">
        <v>125</v>
      </c>
    </row>
    <row r="254" spans="1:9">
      <c r="A254" t="s">
        <v>122</v>
      </c>
      <c r="B254">
        <f>B253*(E243/B236)</f>
        <v>16.252150371605239</v>
      </c>
      <c r="C254" t="s">
        <v>124</v>
      </c>
    </row>
    <row r="257" spans="1:10">
      <c r="B257" t="s">
        <v>139</v>
      </c>
    </row>
    <row r="259" spans="1:10">
      <c r="A259" t="s">
        <v>77</v>
      </c>
      <c r="B259" s="5">
        <f>B125</f>
        <v>0.87726395694718384</v>
      </c>
      <c r="C259" t="s">
        <v>33</v>
      </c>
      <c r="E259" t="s">
        <v>142</v>
      </c>
      <c r="F259" s="6">
        <f>G116</f>
        <v>1055.4312795293731</v>
      </c>
      <c r="G259" t="s">
        <v>12</v>
      </c>
      <c r="H259" t="s">
        <v>167</v>
      </c>
      <c r="I259" s="15">
        <f>B261/F259</f>
        <v>4.0006552284005481E-3</v>
      </c>
      <c r="J259" t="s">
        <v>168</v>
      </c>
    </row>
    <row r="260" spans="1:10">
      <c r="A260" t="s">
        <v>39</v>
      </c>
      <c r="B260">
        <f>J121</f>
        <v>7.619999999999999E-2</v>
      </c>
      <c r="C260" t="s">
        <v>37</v>
      </c>
      <c r="E260" t="s">
        <v>93</v>
      </c>
      <c r="F260">
        <f>G8</f>
        <v>1.003E-3</v>
      </c>
      <c r="G260" t="s">
        <v>15</v>
      </c>
    </row>
    <row r="261" spans="1:10">
      <c r="A261" t="s">
        <v>140</v>
      </c>
      <c r="B261" s="5">
        <f>D116</f>
        <v>4.2224166666666667</v>
      </c>
      <c r="C261" t="s">
        <v>141</v>
      </c>
    </row>
    <row r="263" spans="1:10">
      <c r="A263" t="s">
        <v>136</v>
      </c>
      <c r="B263">
        <f>(B259*B260*F259)/F260</f>
        <v>70341.930934308519</v>
      </c>
      <c r="D263" t="s">
        <v>137</v>
      </c>
    </row>
    <row r="264" spans="1:10">
      <c r="A264" t="s">
        <v>116</v>
      </c>
      <c r="B264">
        <f>D229/B260</f>
        <v>2.6246719160104988E-5</v>
      </c>
      <c r="D264" t="s">
        <v>114</v>
      </c>
      <c r="E264">
        <v>0.02</v>
      </c>
    </row>
    <row r="265" spans="1:10">
      <c r="I265">
        <f>900000/F259</f>
        <v>852.73197550229759</v>
      </c>
    </row>
    <row r="266" spans="1:10">
      <c r="A266" t="s">
        <v>88</v>
      </c>
      <c r="B266">
        <f>7.5+2*0.7</f>
        <v>8.9</v>
      </c>
      <c r="I266">
        <f>3960000/1105</f>
        <v>3583.7104072398188</v>
      </c>
    </row>
    <row r="267" spans="1:10">
      <c r="A267" t="s">
        <v>143</v>
      </c>
      <c r="B267">
        <f>B260/4</f>
        <v>1.9049999999999997E-2</v>
      </c>
      <c r="C267" t="s">
        <v>37</v>
      </c>
    </row>
    <row r="269" spans="1:10">
      <c r="A269" t="s">
        <v>120</v>
      </c>
      <c r="B269">
        <f>(B221*B222)+(0.5*(B259^2)*(B224/B267)*E264)+(0.5*(B259^2)*B266)</f>
        <v>38.914464545714807</v>
      </c>
      <c r="C269" t="s">
        <v>125</v>
      </c>
    </row>
    <row r="270" spans="1:10">
      <c r="A270" t="s">
        <v>122</v>
      </c>
      <c r="B270">
        <f>B269*(B261/B236)</f>
        <v>234.73297667462188</v>
      </c>
      <c r="C270" t="s">
        <v>124</v>
      </c>
    </row>
    <row r="273" spans="1:6">
      <c r="A273" s="1" t="s">
        <v>144</v>
      </c>
    </row>
    <row r="275" spans="1:6">
      <c r="B275" t="s">
        <v>145</v>
      </c>
    </row>
    <row r="277" spans="1:6">
      <c r="A277" t="s">
        <v>37</v>
      </c>
      <c r="B277">
        <f>C9</f>
        <v>15786.6</v>
      </c>
      <c r="C277" t="s">
        <v>44</v>
      </c>
    </row>
    <row r="278" spans="1:6">
      <c r="A278" t="s">
        <v>92</v>
      </c>
      <c r="B278" s="6">
        <f>B75</f>
        <v>1104.9908930994063</v>
      </c>
      <c r="C278" t="s">
        <v>12</v>
      </c>
    </row>
    <row r="279" spans="1:6">
      <c r="A279" t="s">
        <v>146</v>
      </c>
      <c r="B279">
        <f>B29</f>
        <v>8</v>
      </c>
      <c r="C279" t="s">
        <v>28</v>
      </c>
    </row>
    <row r="281" spans="1:6">
      <c r="A281" t="s">
        <v>147</v>
      </c>
      <c r="B281" s="5">
        <f>((B277*B279)/B278)/3</f>
        <v>38.097689549205043</v>
      </c>
      <c r="C281" t="s">
        <v>29</v>
      </c>
      <c r="D281" t="s">
        <v>149</v>
      </c>
      <c r="E281" s="5">
        <f>B281*(1+B282)</f>
        <v>43.812342981585793</v>
      </c>
      <c r="F281" t="s">
        <v>29</v>
      </c>
    </row>
    <row r="282" spans="1:6">
      <c r="A282" t="s">
        <v>148</v>
      </c>
      <c r="B282">
        <f>0.15</f>
        <v>0.15</v>
      </c>
      <c r="D282" t="s">
        <v>150</v>
      </c>
    </row>
    <row r="283" spans="1:6">
      <c r="D283" t="s">
        <v>151</v>
      </c>
    </row>
    <row r="284" spans="1:6">
      <c r="D284" t="s">
        <v>152</v>
      </c>
      <c r="E284" s="5">
        <f>((4*E281)/(3*3.1416))^(1/3)</f>
        <v>2.6492815137823218</v>
      </c>
      <c r="F284" t="s">
        <v>37</v>
      </c>
    </row>
    <row r="285" spans="1:6">
      <c r="D285" t="s">
        <v>153</v>
      </c>
      <c r="E285">
        <v>3</v>
      </c>
    </row>
    <row r="286" spans="1:6">
      <c r="D286" t="s">
        <v>154</v>
      </c>
      <c r="E286" s="5">
        <f>E285*E284</f>
        <v>7.9478445413469654</v>
      </c>
      <c r="F286" t="s">
        <v>37</v>
      </c>
    </row>
    <row r="289" spans="1:6">
      <c r="B289" t="s">
        <v>155</v>
      </c>
    </row>
    <row r="291" spans="1:6">
      <c r="A291" t="s">
        <v>37</v>
      </c>
      <c r="B291">
        <f>C10</f>
        <v>1000</v>
      </c>
      <c r="C291" t="s">
        <v>44</v>
      </c>
    </row>
    <row r="292" spans="1:6">
      <c r="A292" t="s">
        <v>92</v>
      </c>
      <c r="B292">
        <f>G7</f>
        <v>998.3</v>
      </c>
      <c r="C292" t="s">
        <v>12</v>
      </c>
    </row>
    <row r="293" spans="1:6">
      <c r="A293" t="s">
        <v>146</v>
      </c>
      <c r="B293">
        <f>B29</f>
        <v>8</v>
      </c>
      <c r="C293" t="s">
        <v>28</v>
      </c>
    </row>
    <row r="296" spans="1:6">
      <c r="A296" t="s">
        <v>147</v>
      </c>
      <c r="B296">
        <f>(B291*B293)/B292</f>
        <v>8.0136231593709315</v>
      </c>
      <c r="C296" t="s">
        <v>29</v>
      </c>
    </row>
    <row r="297" spans="1:6">
      <c r="A297" t="s">
        <v>156</v>
      </c>
      <c r="B297">
        <f>B282</f>
        <v>0.15</v>
      </c>
      <c r="D297" t="s">
        <v>157</v>
      </c>
      <c r="E297" s="5">
        <f>B296*(1+B297)</f>
        <v>9.2156666332765713</v>
      </c>
      <c r="F297" t="s">
        <v>29</v>
      </c>
    </row>
    <row r="298" spans="1:6">
      <c r="D298" t="s">
        <v>152</v>
      </c>
      <c r="E298" s="5">
        <f>((4*E297)/(3*3.1416))^(1/3)</f>
        <v>1.5755718088402504</v>
      </c>
      <c r="F298" t="s">
        <v>37</v>
      </c>
    </row>
    <row r="299" spans="1:6">
      <c r="D299" t="s">
        <v>154</v>
      </c>
      <c r="E299" s="5">
        <f>E285*E298</f>
        <v>4.7267154265207516</v>
      </c>
      <c r="F299" t="s">
        <v>37</v>
      </c>
    </row>
    <row r="302" spans="1:6">
      <c r="B302" t="s">
        <v>158</v>
      </c>
    </row>
    <row r="304" spans="1:6">
      <c r="A304" t="s">
        <v>37</v>
      </c>
      <c r="B304">
        <f>C4</f>
        <v>1585.9</v>
      </c>
      <c r="C304" t="s">
        <v>44</v>
      </c>
    </row>
    <row r="305" spans="1:6">
      <c r="A305" t="s">
        <v>92</v>
      </c>
      <c r="B305">
        <f>G5</f>
        <v>1790</v>
      </c>
      <c r="C305" t="s">
        <v>12</v>
      </c>
    </row>
    <row r="308" spans="1:6">
      <c r="A308" t="s">
        <v>147</v>
      </c>
      <c r="B308">
        <f>(B304*B279)/B305</f>
        <v>7.08782122905028</v>
      </c>
      <c r="C308" t="s">
        <v>29</v>
      </c>
      <c r="D308" t="s">
        <v>159</v>
      </c>
      <c r="E308">
        <f>B308*(1+B282)</f>
        <v>8.1509944134078207</v>
      </c>
      <c r="F308" t="s">
        <v>29</v>
      </c>
    </row>
    <row r="309" spans="1:6">
      <c r="D309" t="s">
        <v>152</v>
      </c>
      <c r="E309">
        <f>((4*E308)/(3*3.1416))^(1/3)</f>
        <v>1.5123981865280955</v>
      </c>
      <c r="F309" t="s">
        <v>37</v>
      </c>
    </row>
    <row r="310" spans="1:6">
      <c r="D310" t="s">
        <v>154</v>
      </c>
      <c r="E310">
        <f>E285*E309</f>
        <v>4.5371945595842869</v>
      </c>
      <c r="F310" t="s">
        <v>37</v>
      </c>
    </row>
    <row r="313" spans="1:6">
      <c r="B313" t="s">
        <v>160</v>
      </c>
    </row>
    <row r="315" spans="1:6">
      <c r="A315" t="s">
        <v>37</v>
      </c>
      <c r="B315">
        <f>C5</f>
        <v>773.5</v>
      </c>
      <c r="C315" t="s">
        <v>44</v>
      </c>
    </row>
    <row r="316" spans="1:6">
      <c r="A316" t="s">
        <v>92</v>
      </c>
      <c r="B316">
        <f>G6</f>
        <v>1498</v>
      </c>
      <c r="C316" t="s">
        <v>12</v>
      </c>
    </row>
    <row r="319" spans="1:6">
      <c r="A319" t="s">
        <v>147</v>
      </c>
      <c r="B319">
        <f>(B315*B279)/B316</f>
        <v>4.1308411214953269</v>
      </c>
      <c r="C319" t="s">
        <v>29</v>
      </c>
      <c r="D319" t="s">
        <v>149</v>
      </c>
      <c r="E319">
        <f>B319*(1+B282)</f>
        <v>4.7504672897196256</v>
      </c>
      <c r="F319" t="s">
        <v>29</v>
      </c>
    </row>
    <row r="320" spans="1:6">
      <c r="D320" t="s">
        <v>161</v>
      </c>
      <c r="E320">
        <f>((4*E319)/(3*3.1416))^(1/3)</f>
        <v>1.263304549403943</v>
      </c>
      <c r="F320" t="s">
        <v>37</v>
      </c>
    </row>
    <row r="321" spans="1:6">
      <c r="D321" t="s">
        <v>162</v>
      </c>
      <c r="E321">
        <f>E285*E320</f>
        <v>3.789913648211829</v>
      </c>
      <c r="F321" t="s">
        <v>37</v>
      </c>
    </row>
    <row r="324" spans="1:6">
      <c r="B324" t="s">
        <v>166</v>
      </c>
    </row>
    <row r="326" spans="1:6">
      <c r="A326" t="s">
        <v>37</v>
      </c>
      <c r="B326">
        <f>C6+C7+C8+C10+C11</f>
        <v>15427.199999999999</v>
      </c>
      <c r="C326" t="s">
        <v>44</v>
      </c>
    </row>
    <row r="327" spans="1:6">
      <c r="A327" t="s">
        <v>92</v>
      </c>
      <c r="B327">
        <f>(C6+C7+C8+C10+C11)/((C6/G3)+(C7/G4)+((C8+C10+C11)/G7))</f>
        <v>1036.2375104744401</v>
      </c>
      <c r="C327" t="s">
        <v>12</v>
      </c>
    </row>
    <row r="329" spans="1:6">
      <c r="A329" t="s">
        <v>147</v>
      </c>
      <c r="B329">
        <f>((B326*B279)/B327)/3</f>
        <v>39.700550871937132</v>
      </c>
      <c r="C329" t="s">
        <v>29</v>
      </c>
      <c r="D329" t="s">
        <v>159</v>
      </c>
      <c r="E329">
        <f>B329*(1+B282)</f>
        <v>45.655633502727696</v>
      </c>
      <c r="F329" t="s">
        <v>29</v>
      </c>
    </row>
    <row r="330" spans="1:6">
      <c r="D330" t="s">
        <v>161</v>
      </c>
      <c r="E330">
        <f>((4*E329)/(3*3.1416))^(1/3)</f>
        <v>2.6859261894713389</v>
      </c>
      <c r="F330" t="s">
        <v>37</v>
      </c>
    </row>
    <row r="331" spans="1:6">
      <c r="D331" t="s">
        <v>162</v>
      </c>
      <c r="E331">
        <f>E285*E330</f>
        <v>8.0577785684140171</v>
      </c>
      <c r="F331" t="s">
        <v>37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80"/>
  <sheetViews>
    <sheetView topLeftCell="A68" zoomScale="125" zoomScaleNormal="125" zoomScalePageLayoutView="125" workbookViewId="0">
      <selection activeCell="J86" sqref="J86"/>
    </sheetView>
  </sheetViews>
  <sheetFormatPr baseColWidth="10" defaultRowHeight="15" x14ac:dyDescent="0"/>
  <cols>
    <col min="2" max="2" width="19.6640625" customWidth="1"/>
    <col min="4" max="4" width="14.1640625" customWidth="1"/>
    <col min="7" max="7" width="15" customWidth="1"/>
    <col min="10" max="10" width="10.33203125" customWidth="1"/>
  </cols>
  <sheetData>
    <row r="1" spans="1:12">
      <c r="A1" s="1" t="s">
        <v>186</v>
      </c>
      <c r="C1" t="s">
        <v>180</v>
      </c>
      <c r="D1">
        <f>567.1/390.4</f>
        <v>1.4526127049180328</v>
      </c>
      <c r="F1" t="s">
        <v>208</v>
      </c>
      <c r="G1">
        <v>0.85</v>
      </c>
      <c r="H1" s="21" t="s">
        <v>193</v>
      </c>
    </row>
    <row r="2" spans="1:12">
      <c r="C2" t="s">
        <v>209</v>
      </c>
      <c r="D2" t="s">
        <v>210</v>
      </c>
      <c r="E2" t="s">
        <v>211</v>
      </c>
      <c r="F2" t="s">
        <v>212</v>
      </c>
    </row>
    <row r="3" spans="1:12">
      <c r="B3" s="1" t="s">
        <v>176</v>
      </c>
      <c r="C3" s="1" t="s">
        <v>177</v>
      </c>
      <c r="D3" t="s">
        <v>178</v>
      </c>
      <c r="E3" t="s">
        <v>179</v>
      </c>
      <c r="F3" t="s">
        <v>202</v>
      </c>
      <c r="G3" t="s">
        <v>207</v>
      </c>
    </row>
    <row r="4" spans="1:12">
      <c r="A4" t="s">
        <v>253</v>
      </c>
      <c r="B4">
        <v>15000</v>
      </c>
      <c r="C4">
        <f>B4*2</f>
        <v>30000</v>
      </c>
      <c r="D4">
        <f>C4*1.3</f>
        <v>39000</v>
      </c>
      <c r="E4">
        <f>D4*D1*3</f>
        <v>169955.68647540984</v>
      </c>
      <c r="F4">
        <f>C4*D1*3</f>
        <v>130735.14344262294</v>
      </c>
      <c r="G4">
        <f>F4*G1</f>
        <v>111124.87192622949</v>
      </c>
      <c r="J4" s="1" t="s">
        <v>213</v>
      </c>
      <c r="K4" t="s">
        <v>222</v>
      </c>
      <c r="L4" t="s">
        <v>223</v>
      </c>
    </row>
    <row r="5" spans="1:12">
      <c r="A5" t="s">
        <v>254</v>
      </c>
      <c r="B5">
        <v>6000</v>
      </c>
      <c r="C5">
        <f t="shared" ref="C5:C8" si="0">B5*2</f>
        <v>12000</v>
      </c>
      <c r="D5">
        <f>C5*1.3</f>
        <v>15600</v>
      </c>
      <c r="E5">
        <f>D5*D1</f>
        <v>22660.758196721312</v>
      </c>
      <c r="F5">
        <f>C5*D1</f>
        <v>17431.352459016394</v>
      </c>
      <c r="G5">
        <f>F5*G1</f>
        <v>14816.649590163935</v>
      </c>
      <c r="J5" t="s">
        <v>214</v>
      </c>
      <c r="K5">
        <v>1</v>
      </c>
      <c r="L5">
        <f>G21</f>
        <v>370119.90676229511</v>
      </c>
    </row>
    <row r="6" spans="1:12">
      <c r="A6" t="s">
        <v>2</v>
      </c>
      <c r="B6">
        <v>5000</v>
      </c>
      <c r="C6">
        <f t="shared" si="0"/>
        <v>10000</v>
      </c>
      <c r="D6">
        <f>C6*1.3</f>
        <v>13000</v>
      </c>
      <c r="E6">
        <f>D6*D1</f>
        <v>18883.965163934427</v>
      </c>
      <c r="F6">
        <f>C6*D1</f>
        <v>14526.127049180328</v>
      </c>
      <c r="G6">
        <f>F6*G1</f>
        <v>12347.207991803278</v>
      </c>
      <c r="J6" t="s">
        <v>215</v>
      </c>
      <c r="K6">
        <v>0.39</v>
      </c>
      <c r="L6">
        <f>L5*K6</f>
        <v>144346.76363729511</v>
      </c>
    </row>
    <row r="7" spans="1:12">
      <c r="A7" t="s">
        <v>40</v>
      </c>
      <c r="B7">
        <v>4000</v>
      </c>
      <c r="C7">
        <f t="shared" si="0"/>
        <v>8000</v>
      </c>
      <c r="D7">
        <f>C7*1.3</f>
        <v>10400</v>
      </c>
      <c r="E7">
        <f>D7*D1</f>
        <v>15107.172131147541</v>
      </c>
      <c r="F7">
        <f>C7*D1</f>
        <v>11620.901639344263</v>
      </c>
      <c r="G7">
        <f>F7*G1</f>
        <v>9877.7663934426237</v>
      </c>
      <c r="J7" t="s">
        <v>216</v>
      </c>
      <c r="K7">
        <v>0.26</v>
      </c>
      <c r="L7">
        <f>K7*L5</f>
        <v>96231.175758196739</v>
      </c>
    </row>
    <row r="8" spans="1:12">
      <c r="A8" t="s">
        <v>255</v>
      </c>
      <c r="B8">
        <v>16000</v>
      </c>
      <c r="C8">
        <f t="shared" si="0"/>
        <v>32000</v>
      </c>
      <c r="D8">
        <f>C8*1.3</f>
        <v>41600</v>
      </c>
      <c r="E8">
        <f>D8*D1*3</f>
        <v>181286.06557377049</v>
      </c>
      <c r="F8">
        <f>C8*D1*3</f>
        <v>139450.81967213115</v>
      </c>
      <c r="G8">
        <f>F8*G1</f>
        <v>118533.19672131148</v>
      </c>
      <c r="J8" t="s">
        <v>217</v>
      </c>
      <c r="K8">
        <v>0.31</v>
      </c>
      <c r="L8">
        <f>L5*K8</f>
        <v>114737.17109631149</v>
      </c>
    </row>
    <row r="9" spans="1:12">
      <c r="B9" s="27">
        <f t="shared" ref="B9:G9" si="1">SUM(B4:B8)</f>
        <v>46000</v>
      </c>
      <c r="C9" s="27">
        <f t="shared" si="1"/>
        <v>92000</v>
      </c>
      <c r="D9" s="27">
        <f t="shared" si="1"/>
        <v>119600</v>
      </c>
      <c r="E9" s="1">
        <f t="shared" si="1"/>
        <v>407893.64754098363</v>
      </c>
      <c r="F9" s="27">
        <f t="shared" si="1"/>
        <v>313764.34426229505</v>
      </c>
      <c r="G9" s="1">
        <f t="shared" si="1"/>
        <v>266699.69262295082</v>
      </c>
      <c r="J9" t="s">
        <v>218</v>
      </c>
      <c r="K9">
        <v>0.1</v>
      </c>
      <c r="L9">
        <f>L5*K9</f>
        <v>37011.990676229514</v>
      </c>
    </row>
    <row r="10" spans="1:12">
      <c r="J10" t="s">
        <v>219</v>
      </c>
      <c r="K10">
        <v>0.28999999999999998</v>
      </c>
      <c r="L10">
        <f>L5*K10</f>
        <v>107334.77296106558</v>
      </c>
    </row>
    <row r="11" spans="1:12">
      <c r="A11" t="s">
        <v>181</v>
      </c>
      <c r="B11">
        <v>18000</v>
      </c>
      <c r="C11">
        <f>B11*2</f>
        <v>36000</v>
      </c>
      <c r="F11">
        <f>C11*D1</f>
        <v>52294.057377049183</v>
      </c>
      <c r="G11">
        <f>F11*G1</f>
        <v>44449.948770491806</v>
      </c>
      <c r="J11" t="s">
        <v>220</v>
      </c>
      <c r="K11">
        <v>0.12</v>
      </c>
      <c r="L11">
        <f>L5*K11</f>
        <v>44414.388811475408</v>
      </c>
    </row>
    <row r="12" spans="1:12">
      <c r="A12" t="s">
        <v>182</v>
      </c>
      <c r="B12">
        <v>18000</v>
      </c>
      <c r="C12">
        <f>B12*2</f>
        <v>36000</v>
      </c>
      <c r="F12">
        <f>C12*D1</f>
        <v>52294.057377049183</v>
      </c>
      <c r="G12">
        <f>F12*G1</f>
        <v>44449.948770491806</v>
      </c>
      <c r="J12" t="s">
        <v>221</v>
      </c>
      <c r="K12">
        <v>0.55000000000000004</v>
      </c>
      <c r="L12">
        <f>L5*K12</f>
        <v>203565.94871926232</v>
      </c>
    </row>
    <row r="13" spans="1:12">
      <c r="B13" s="27">
        <f>SUM(B11:B12)</f>
        <v>36000</v>
      </c>
      <c r="C13" s="27">
        <f>SUM(C11:C12)</f>
        <v>72000</v>
      </c>
      <c r="D13" s="1"/>
      <c r="F13" s="1">
        <f>SUM(F11:F12)</f>
        <v>104588.11475409837</v>
      </c>
      <c r="G13" s="1">
        <f>SUM(G11:G12)</f>
        <v>88899.897540983613</v>
      </c>
      <c r="J13" t="s">
        <v>4</v>
      </c>
      <c r="L13" s="1">
        <f>SUM(L5:L12)</f>
        <v>1117762.1184221313</v>
      </c>
    </row>
    <row r="15" spans="1:12">
      <c r="A15" t="s">
        <v>183</v>
      </c>
      <c r="B15">
        <v>1900</v>
      </c>
      <c r="C15">
        <f>B15*2.4</f>
        <v>4560</v>
      </c>
      <c r="D15">
        <f>1.4*C15</f>
        <v>6384</v>
      </c>
      <c r="E15">
        <f>D1*D15</f>
        <v>9273.4795081967222</v>
      </c>
      <c r="F15">
        <f>C15*D1</f>
        <v>6623.9139344262294</v>
      </c>
      <c r="G15">
        <f>F15*G1</f>
        <v>5630.3268442622948</v>
      </c>
      <c r="J15" s="1" t="s">
        <v>224</v>
      </c>
      <c r="K15" t="s">
        <v>222</v>
      </c>
      <c r="L15" t="s">
        <v>223</v>
      </c>
    </row>
    <row r="16" spans="1:12">
      <c r="A16" t="s">
        <v>184</v>
      </c>
      <c r="B16">
        <v>1000</v>
      </c>
      <c r="C16">
        <f>2.4*B16</f>
        <v>2400</v>
      </c>
      <c r="D16">
        <f>1.4*C16</f>
        <v>3360</v>
      </c>
      <c r="E16">
        <f>D1*D16</f>
        <v>4880.7786885245905</v>
      </c>
      <c r="F16">
        <f>C16*D1</f>
        <v>3486.2704918032787</v>
      </c>
      <c r="G16">
        <f>F16*G1</f>
        <v>2963.3299180327867</v>
      </c>
      <c r="J16" t="s">
        <v>225</v>
      </c>
      <c r="K16">
        <v>0.32</v>
      </c>
      <c r="L16">
        <f>L$5*K16</f>
        <v>118438.37016393444</v>
      </c>
    </row>
    <row r="17" spans="1:12">
      <c r="A17" t="s">
        <v>185</v>
      </c>
      <c r="B17">
        <v>2000</v>
      </c>
      <c r="C17">
        <f>2.4*B17</f>
        <v>4800</v>
      </c>
      <c r="D17">
        <f>1.4*C17</f>
        <v>6720</v>
      </c>
      <c r="E17">
        <f>D1*D17</f>
        <v>9761.557377049181</v>
      </c>
      <c r="F17">
        <f>C17*D1</f>
        <v>6972.5409836065573</v>
      </c>
      <c r="G17">
        <f>F17*G1</f>
        <v>5926.6598360655735</v>
      </c>
      <c r="J17" t="s">
        <v>226</v>
      </c>
      <c r="K17">
        <v>0.34</v>
      </c>
      <c r="L17">
        <f t="shared" ref="L17:L20" si="2">L$5*K17</f>
        <v>125840.76829918034</v>
      </c>
    </row>
    <row r="18" spans="1:12">
      <c r="B18">
        <f t="shared" ref="B18:G18" si="3">SUM(B15:B17)</f>
        <v>4900</v>
      </c>
      <c r="C18">
        <f t="shared" si="3"/>
        <v>11760</v>
      </c>
      <c r="D18">
        <f t="shared" si="3"/>
        <v>16464</v>
      </c>
      <c r="E18" s="1">
        <f t="shared" si="3"/>
        <v>23915.815573770495</v>
      </c>
      <c r="F18">
        <f t="shared" si="3"/>
        <v>17082.725409836065</v>
      </c>
      <c r="G18" s="1">
        <f t="shared" si="3"/>
        <v>14520.316598360656</v>
      </c>
      <c r="J18" t="s">
        <v>227</v>
      </c>
      <c r="K18">
        <v>0.04</v>
      </c>
      <c r="L18">
        <f t="shared" si="2"/>
        <v>14804.796270491805</v>
      </c>
    </row>
    <row r="19" spans="1:12">
      <c r="J19" t="s">
        <v>228</v>
      </c>
      <c r="K19">
        <v>0.19</v>
      </c>
      <c r="L19">
        <f t="shared" si="2"/>
        <v>70322.782284836067</v>
      </c>
    </row>
    <row r="20" spans="1:12">
      <c r="J20" t="s">
        <v>229</v>
      </c>
      <c r="K20">
        <v>0.37</v>
      </c>
      <c r="L20">
        <f t="shared" si="2"/>
        <v>136944.36550204919</v>
      </c>
    </row>
    <row r="21" spans="1:12">
      <c r="D21" t="s">
        <v>4</v>
      </c>
      <c r="E21">
        <f>E9+F13+E18</f>
        <v>536397.57786885253</v>
      </c>
      <c r="F21">
        <f>F4+F5+F6+F7+F8+F11+F12+F15+F16+F17</f>
        <v>435435.18442622945</v>
      </c>
      <c r="G21" s="28">
        <f>G4+G5+G6+G7+G8+G11+G12+G15+G16+G17</f>
        <v>370119.90676229511</v>
      </c>
      <c r="H21" t="s">
        <v>193</v>
      </c>
      <c r="J21" t="s">
        <v>4</v>
      </c>
      <c r="L21" s="1">
        <f>SUM(L16:L20)</f>
        <v>466351.08252049191</v>
      </c>
    </row>
    <row r="22" spans="1:12">
      <c r="K22" t="s">
        <v>222</v>
      </c>
      <c r="L22" t="s">
        <v>223</v>
      </c>
    </row>
    <row r="23" spans="1:12">
      <c r="J23" t="s">
        <v>230</v>
      </c>
      <c r="L23">
        <f>L13+L21</f>
        <v>1584113.2009426232</v>
      </c>
    </row>
    <row r="24" spans="1:12">
      <c r="A24" s="1" t="s">
        <v>187</v>
      </c>
      <c r="C24">
        <v>148</v>
      </c>
      <c r="D24" t="s">
        <v>256</v>
      </c>
      <c r="J24" t="s">
        <v>231</v>
      </c>
      <c r="K24">
        <v>75</v>
      </c>
      <c r="L24">
        <f>L5*0.75</f>
        <v>277589.93007172132</v>
      </c>
    </row>
    <row r="25" spans="1:12">
      <c r="A25" t="s">
        <v>203</v>
      </c>
      <c r="B25" t="s">
        <v>188</v>
      </c>
      <c r="C25" t="s">
        <v>189</v>
      </c>
      <c r="D25" t="s">
        <v>257</v>
      </c>
      <c r="E25" t="s">
        <v>190</v>
      </c>
      <c r="L25" s="1">
        <f>SUM(L23:L24)</f>
        <v>1861703.1310143445</v>
      </c>
    </row>
    <row r="26" spans="1:12">
      <c r="A26" t="s">
        <v>183</v>
      </c>
      <c r="B26">
        <v>0.246</v>
      </c>
      <c r="C26">
        <v>8</v>
      </c>
      <c r="D26">
        <f>B26*C26</f>
        <v>1.968</v>
      </c>
      <c r="E26">
        <f>C24*D26</f>
        <v>291.26400000000001</v>
      </c>
    </row>
    <row r="27" spans="1:12">
      <c r="A27" t="s">
        <v>184</v>
      </c>
      <c r="B27">
        <v>1.6E-2</v>
      </c>
      <c r="C27">
        <v>8</v>
      </c>
      <c r="D27">
        <f>C27*B27</f>
        <v>0.128</v>
      </c>
      <c r="E27">
        <f>C24*D27</f>
        <v>18.943999999999999</v>
      </c>
      <c r="J27" t="s">
        <v>232</v>
      </c>
      <c r="K27">
        <f>H29+E36+F39</f>
        <v>531975.11030718661</v>
      </c>
    </row>
    <row r="28" spans="1:12">
      <c r="A28" t="s">
        <v>185</v>
      </c>
      <c r="B28">
        <v>0.23499999999999999</v>
      </c>
      <c r="C28">
        <v>8</v>
      </c>
      <c r="D28">
        <f>B28*C28</f>
        <v>1.88</v>
      </c>
      <c r="E28">
        <f>C24*D28</f>
        <v>278.24</v>
      </c>
      <c r="G28" t="s">
        <v>194</v>
      </c>
      <c r="H28" t="s">
        <v>202</v>
      </c>
    </row>
    <row r="29" spans="1:12">
      <c r="E29">
        <f>SUM(E26:E28)</f>
        <v>588.44800000000009</v>
      </c>
      <c r="G29">
        <f>E29*D30</f>
        <v>22.508136000000004</v>
      </c>
      <c r="H29" s="1">
        <f>G29*D1</f>
        <v>32.695604317622958</v>
      </c>
    </row>
    <row r="30" spans="1:12">
      <c r="A30" t="s">
        <v>191</v>
      </c>
      <c r="B30">
        <v>4.4999999999999998E-2</v>
      </c>
      <c r="C30" s="21" t="s">
        <v>192</v>
      </c>
      <c r="D30">
        <f>B30*0.85</f>
        <v>3.8249999999999999E-2</v>
      </c>
      <c r="E30" t="s">
        <v>258</v>
      </c>
    </row>
    <row r="32" spans="1:12">
      <c r="A32" t="s">
        <v>199</v>
      </c>
      <c r="B32" t="s">
        <v>198</v>
      </c>
      <c r="C32" t="s">
        <v>200</v>
      </c>
      <c r="D32" t="s">
        <v>201</v>
      </c>
      <c r="E32" t="s">
        <v>202</v>
      </c>
    </row>
    <row r="33" spans="1:6">
      <c r="A33" t="s">
        <v>195</v>
      </c>
      <c r="B33">
        <f>4*4</f>
        <v>16</v>
      </c>
      <c r="C33">
        <v>13347</v>
      </c>
      <c r="D33">
        <f>B33*C33</f>
        <v>213552</v>
      </c>
      <c r="E33">
        <f>D33*D1</f>
        <v>310208.34836065577</v>
      </c>
    </row>
    <row r="34" spans="1:6">
      <c r="A34" t="s">
        <v>196</v>
      </c>
      <c r="B34">
        <f>1*4</f>
        <v>4</v>
      </c>
      <c r="C34">
        <v>16092</v>
      </c>
      <c r="D34">
        <f>B34*C34</f>
        <v>64368</v>
      </c>
      <c r="E34">
        <f>D34*D1</f>
        <v>93501.774590163943</v>
      </c>
    </row>
    <row r="35" spans="1:6">
      <c r="A35" t="s">
        <v>197</v>
      </c>
      <c r="B35">
        <f>1*3</f>
        <v>3</v>
      </c>
      <c r="C35">
        <v>26071</v>
      </c>
      <c r="D35">
        <f>B35*C35</f>
        <v>78213</v>
      </c>
      <c r="E35">
        <f>D35*D1</f>
        <v>113613.19748975411</v>
      </c>
    </row>
    <row r="36" spans="1:6">
      <c r="D36">
        <f>SUM(D33:D35)</f>
        <v>356133</v>
      </c>
      <c r="E36" s="1">
        <f>SUM(E33:E35)</f>
        <v>517323.32044057385</v>
      </c>
    </row>
    <row r="38" spans="1:6">
      <c r="A38" t="s">
        <v>7</v>
      </c>
      <c r="B38" t="s">
        <v>259</v>
      </c>
      <c r="C38" t="s">
        <v>205</v>
      </c>
      <c r="D38" t="s">
        <v>204</v>
      </c>
      <c r="E38" t="s">
        <v>206</v>
      </c>
      <c r="F38" t="s">
        <v>202</v>
      </c>
    </row>
    <row r="39" spans="1:6">
      <c r="B39">
        <v>6.8000000000000005E-2</v>
      </c>
      <c r="C39">
        <v>1000</v>
      </c>
      <c r="D39">
        <f>C39*C24</f>
        <v>148000</v>
      </c>
      <c r="E39">
        <f>D39*B39</f>
        <v>10064</v>
      </c>
      <c r="F39" s="1">
        <f>E39*D1</f>
        <v>14619.094262295082</v>
      </c>
    </row>
    <row r="41" spans="1:6">
      <c r="A41" s="1" t="s">
        <v>233</v>
      </c>
    </row>
    <row r="42" spans="1:6">
      <c r="B42" t="s">
        <v>234</v>
      </c>
      <c r="C42" t="s">
        <v>205</v>
      </c>
      <c r="D42" t="s">
        <v>204</v>
      </c>
      <c r="E42" t="s">
        <v>206</v>
      </c>
      <c r="F42" t="s">
        <v>235</v>
      </c>
    </row>
    <row r="43" spans="1:6">
      <c r="A43" t="s">
        <v>2</v>
      </c>
      <c r="B43">
        <v>5</v>
      </c>
      <c r="C43">
        <v>1585.9</v>
      </c>
      <c r="D43">
        <f>C43*C24</f>
        <v>234713.2</v>
      </c>
      <c r="E43">
        <f>D43*B43</f>
        <v>1173566</v>
      </c>
      <c r="F43">
        <f>E43*D1</f>
        <v>1704736.881659836</v>
      </c>
    </row>
    <row r="44" spans="1:6">
      <c r="A44" t="s">
        <v>40</v>
      </c>
      <c r="B44">
        <v>2</v>
      </c>
      <c r="C44">
        <v>773.5</v>
      </c>
      <c r="D44">
        <f>C44*C24</f>
        <v>114478</v>
      </c>
      <c r="E44">
        <f>D44*B44</f>
        <v>228956</v>
      </c>
      <c r="F44">
        <f>E44*D1</f>
        <v>332584.39446721313</v>
      </c>
    </row>
    <row r="45" spans="1:6">
      <c r="E45">
        <f>SUM(E43:E44)</f>
        <v>1402522</v>
      </c>
      <c r="F45" s="1">
        <f>SUM(F43:F44)</f>
        <v>2037321.2761270492</v>
      </c>
    </row>
    <row r="47" spans="1:6">
      <c r="A47" t="s">
        <v>236</v>
      </c>
    </row>
    <row r="49" spans="1:13">
      <c r="B49" s="29" t="s">
        <v>260</v>
      </c>
      <c r="C49" s="29">
        <v>0</v>
      </c>
      <c r="D49" s="29">
        <v>1</v>
      </c>
      <c r="E49" s="29">
        <v>2</v>
      </c>
      <c r="F49" s="29">
        <v>3</v>
      </c>
      <c r="G49" s="29">
        <v>4</v>
      </c>
      <c r="H49" s="29">
        <v>5</v>
      </c>
      <c r="I49" s="29">
        <v>6</v>
      </c>
      <c r="J49" s="29">
        <v>7</v>
      </c>
      <c r="K49" s="29">
        <v>8</v>
      </c>
      <c r="L49" s="29">
        <v>9</v>
      </c>
      <c r="M49" s="29">
        <v>10</v>
      </c>
    </row>
    <row r="50" spans="1:13">
      <c r="B50" t="s">
        <v>237</v>
      </c>
      <c r="C50">
        <v>0</v>
      </c>
      <c r="D50">
        <f>F45</f>
        <v>2037321.2761270492</v>
      </c>
      <c r="E50">
        <f>D50</f>
        <v>2037321.2761270492</v>
      </c>
      <c r="F50">
        <f>D50</f>
        <v>2037321.2761270492</v>
      </c>
      <c r="G50">
        <f>D50</f>
        <v>2037321.2761270492</v>
      </c>
      <c r="H50">
        <f>D50</f>
        <v>2037321.2761270492</v>
      </c>
      <c r="I50">
        <f>D50</f>
        <v>2037321.2761270492</v>
      </c>
      <c r="J50">
        <f>D50</f>
        <v>2037321.2761270492</v>
      </c>
      <c r="K50">
        <f>D50</f>
        <v>2037321.2761270492</v>
      </c>
      <c r="L50">
        <f>D50</f>
        <v>2037321.2761270492</v>
      </c>
      <c r="M50">
        <f>D50</f>
        <v>2037321.2761270492</v>
      </c>
    </row>
    <row r="51" spans="1:13">
      <c r="B51" t="s">
        <v>238</v>
      </c>
      <c r="C51">
        <v>0</v>
      </c>
      <c r="D51">
        <f>K27</f>
        <v>531975.11030718661</v>
      </c>
      <c r="E51">
        <f>D51</f>
        <v>531975.11030718661</v>
      </c>
      <c r="F51">
        <f>D51</f>
        <v>531975.11030718661</v>
      </c>
      <c r="G51">
        <f>D51</f>
        <v>531975.11030718661</v>
      </c>
      <c r="H51">
        <f>D51</f>
        <v>531975.11030718661</v>
      </c>
      <c r="I51">
        <f>D51</f>
        <v>531975.11030718661</v>
      </c>
      <c r="J51">
        <f>D51</f>
        <v>531975.11030718661</v>
      </c>
      <c r="K51">
        <f>D51</f>
        <v>531975.11030718661</v>
      </c>
      <c r="L51">
        <f>D51</f>
        <v>531975.11030718661</v>
      </c>
      <c r="M51">
        <f>D51</f>
        <v>531975.11030718661</v>
      </c>
    </row>
    <row r="52" spans="1:13">
      <c r="B52" s="30" t="s">
        <v>239</v>
      </c>
      <c r="C52" s="30">
        <v>0</v>
      </c>
      <c r="D52" s="30">
        <f>D50-D51</f>
        <v>1505346.1658198626</v>
      </c>
      <c r="E52" s="30">
        <f>D52</f>
        <v>1505346.1658198626</v>
      </c>
      <c r="F52" s="30">
        <f>D$52</f>
        <v>1505346.1658198626</v>
      </c>
      <c r="G52" s="30">
        <f t="shared" ref="G52:M52" si="4">E$52</f>
        <v>1505346.1658198626</v>
      </c>
      <c r="H52" s="30">
        <f t="shared" si="4"/>
        <v>1505346.1658198626</v>
      </c>
      <c r="I52" s="30">
        <f t="shared" si="4"/>
        <v>1505346.1658198626</v>
      </c>
      <c r="J52" s="30">
        <f t="shared" si="4"/>
        <v>1505346.1658198626</v>
      </c>
      <c r="K52" s="30">
        <f t="shared" si="4"/>
        <v>1505346.1658198626</v>
      </c>
      <c r="L52" s="30">
        <f t="shared" si="4"/>
        <v>1505346.1658198626</v>
      </c>
      <c r="M52" s="30">
        <f t="shared" si="4"/>
        <v>1505346.1658198626</v>
      </c>
    </row>
    <row r="53" spans="1:13">
      <c r="B53" t="s">
        <v>240</v>
      </c>
      <c r="C53">
        <v>0</v>
      </c>
      <c r="D53">
        <f>L$13/10</f>
        <v>111776.21184221313</v>
      </c>
      <c r="E53">
        <f>D$53</f>
        <v>111776.21184221313</v>
      </c>
      <c r="F53">
        <f t="shared" ref="F53:M53" si="5">E$53</f>
        <v>111776.21184221313</v>
      </c>
      <c r="G53">
        <f t="shared" si="5"/>
        <v>111776.21184221313</v>
      </c>
      <c r="H53">
        <f t="shared" si="5"/>
        <v>111776.21184221313</v>
      </c>
      <c r="I53">
        <f t="shared" si="5"/>
        <v>111776.21184221313</v>
      </c>
      <c r="J53">
        <f t="shared" si="5"/>
        <v>111776.21184221313</v>
      </c>
      <c r="K53">
        <f t="shared" si="5"/>
        <v>111776.21184221313</v>
      </c>
      <c r="L53">
        <f t="shared" si="5"/>
        <v>111776.21184221313</v>
      </c>
      <c r="M53">
        <f t="shared" si="5"/>
        <v>111776.21184221313</v>
      </c>
    </row>
    <row r="54" spans="1:13">
      <c r="B54" s="30" t="s">
        <v>241</v>
      </c>
      <c r="C54" s="30">
        <v>0</v>
      </c>
      <c r="D54" s="30">
        <f>D52-D53</f>
        <v>1393569.9539776496</v>
      </c>
      <c r="E54" s="30">
        <f>D$54</f>
        <v>1393569.9539776496</v>
      </c>
      <c r="F54" s="30">
        <f t="shared" ref="F54:M54" si="6">E$54</f>
        <v>1393569.9539776496</v>
      </c>
      <c r="G54" s="30">
        <f t="shared" si="6"/>
        <v>1393569.9539776496</v>
      </c>
      <c r="H54" s="30">
        <f t="shared" si="6"/>
        <v>1393569.9539776496</v>
      </c>
      <c r="I54" s="30">
        <f t="shared" si="6"/>
        <v>1393569.9539776496</v>
      </c>
      <c r="J54" s="30">
        <f t="shared" si="6"/>
        <v>1393569.9539776496</v>
      </c>
      <c r="K54" s="30">
        <f t="shared" si="6"/>
        <v>1393569.9539776496</v>
      </c>
      <c r="L54" s="30">
        <f t="shared" si="6"/>
        <v>1393569.9539776496</v>
      </c>
      <c r="M54" s="30">
        <f t="shared" si="6"/>
        <v>1393569.9539776496</v>
      </c>
    </row>
    <row r="55" spans="1:13">
      <c r="B55" t="s">
        <v>248</v>
      </c>
      <c r="C55">
        <v>0</v>
      </c>
      <c r="D55">
        <f>D54*0.3</f>
        <v>418070.98619329487</v>
      </c>
      <c r="E55">
        <f>D55</f>
        <v>418070.98619329487</v>
      </c>
      <c r="F55">
        <f t="shared" ref="F55:M55" si="7">E55</f>
        <v>418070.98619329487</v>
      </c>
      <c r="G55">
        <f t="shared" si="7"/>
        <v>418070.98619329487</v>
      </c>
      <c r="H55">
        <f t="shared" si="7"/>
        <v>418070.98619329487</v>
      </c>
      <c r="I55">
        <f t="shared" si="7"/>
        <v>418070.98619329487</v>
      </c>
      <c r="J55">
        <f t="shared" si="7"/>
        <v>418070.98619329487</v>
      </c>
      <c r="K55">
        <f t="shared" si="7"/>
        <v>418070.98619329487</v>
      </c>
      <c r="L55">
        <f t="shared" si="7"/>
        <v>418070.98619329487</v>
      </c>
      <c r="M55">
        <f t="shared" si="7"/>
        <v>418070.98619329487</v>
      </c>
    </row>
    <row r="56" spans="1:13">
      <c r="B56" s="30" t="s">
        <v>242</v>
      </c>
      <c r="C56" s="30">
        <v>0</v>
      </c>
      <c r="D56" s="30">
        <f>D54-D55</f>
        <v>975498.9677843547</v>
      </c>
      <c r="E56" s="30">
        <f>D$56</f>
        <v>975498.9677843547</v>
      </c>
      <c r="F56" s="30">
        <f t="shared" ref="F56:M56" si="8">E$56</f>
        <v>975498.9677843547</v>
      </c>
      <c r="G56" s="30">
        <f t="shared" si="8"/>
        <v>975498.9677843547</v>
      </c>
      <c r="H56" s="30">
        <f t="shared" si="8"/>
        <v>975498.9677843547</v>
      </c>
      <c r="I56" s="30">
        <f t="shared" si="8"/>
        <v>975498.9677843547</v>
      </c>
      <c r="J56" s="30">
        <f t="shared" si="8"/>
        <v>975498.9677843547</v>
      </c>
      <c r="K56" s="30">
        <f t="shared" si="8"/>
        <v>975498.9677843547</v>
      </c>
      <c r="L56" s="30">
        <f t="shared" si="8"/>
        <v>975498.9677843547</v>
      </c>
      <c r="M56" s="30">
        <f t="shared" si="8"/>
        <v>975498.9677843547</v>
      </c>
    </row>
    <row r="57" spans="1:13">
      <c r="B57" t="s">
        <v>243</v>
      </c>
      <c r="C57">
        <v>0</v>
      </c>
      <c r="D57">
        <f>D53</f>
        <v>111776.21184221313</v>
      </c>
      <c r="E57">
        <f>D$57</f>
        <v>111776.21184221313</v>
      </c>
      <c r="F57">
        <f t="shared" ref="F57:M57" si="9">E$57</f>
        <v>111776.21184221313</v>
      </c>
      <c r="G57">
        <f t="shared" si="9"/>
        <v>111776.21184221313</v>
      </c>
      <c r="H57">
        <f t="shared" si="9"/>
        <v>111776.21184221313</v>
      </c>
      <c r="I57">
        <f t="shared" si="9"/>
        <v>111776.21184221313</v>
      </c>
      <c r="J57">
        <f t="shared" si="9"/>
        <v>111776.21184221313</v>
      </c>
      <c r="K57">
        <f t="shared" si="9"/>
        <v>111776.21184221313</v>
      </c>
      <c r="L57">
        <f t="shared" si="9"/>
        <v>111776.21184221313</v>
      </c>
      <c r="M57">
        <f t="shared" si="9"/>
        <v>111776.21184221313</v>
      </c>
    </row>
    <row r="58" spans="1:13">
      <c r="B58" t="s">
        <v>244</v>
      </c>
      <c r="C58">
        <f>L23</f>
        <v>1584113.2009426232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</row>
    <row r="59" spans="1:13">
      <c r="B59" t="s">
        <v>245</v>
      </c>
      <c r="C59">
        <f>L24</f>
        <v>277589.93007172132</v>
      </c>
      <c r="D59">
        <v>0</v>
      </c>
      <c r="E59">
        <v>0</v>
      </c>
      <c r="F59">
        <v>0</v>
      </c>
      <c r="G59">
        <v>0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</row>
    <row r="60" spans="1:13">
      <c r="B60" s="30" t="s">
        <v>246</v>
      </c>
      <c r="C60" s="30">
        <f>L25*(-1)</f>
        <v>-1861703.1310143445</v>
      </c>
      <c r="D60" s="30">
        <f>D56+D57</f>
        <v>1087275.1796265678</v>
      </c>
      <c r="E60" s="30">
        <f>D$60</f>
        <v>1087275.1796265678</v>
      </c>
      <c r="F60" s="30">
        <f t="shared" ref="F60:M60" si="10">E$60</f>
        <v>1087275.1796265678</v>
      </c>
      <c r="G60" s="30">
        <f t="shared" si="10"/>
        <v>1087275.1796265678</v>
      </c>
      <c r="H60" s="30">
        <f t="shared" si="10"/>
        <v>1087275.1796265678</v>
      </c>
      <c r="I60" s="30">
        <f t="shared" si="10"/>
        <v>1087275.1796265678</v>
      </c>
      <c r="J60" s="30">
        <f t="shared" si="10"/>
        <v>1087275.1796265678</v>
      </c>
      <c r="K60" s="30">
        <f t="shared" si="10"/>
        <v>1087275.1796265678</v>
      </c>
      <c r="L60" s="30">
        <f t="shared" si="10"/>
        <v>1087275.1796265678</v>
      </c>
      <c r="M60" s="30">
        <f t="shared" si="10"/>
        <v>1087275.1796265678</v>
      </c>
    </row>
    <row r="61" spans="1:13">
      <c r="B61" s="30" t="s">
        <v>247</v>
      </c>
      <c r="C61" s="30">
        <f>C60</f>
        <v>-1861703.1310143445</v>
      </c>
      <c r="D61" s="30">
        <f>C$61+D60</f>
        <v>-774427.95138777676</v>
      </c>
      <c r="E61" s="30">
        <f t="shared" ref="E61:M61" si="11">D$61+E60</f>
        <v>312847.22823879099</v>
      </c>
      <c r="F61" s="30">
        <f t="shared" si="11"/>
        <v>1400122.4078653587</v>
      </c>
      <c r="G61" s="30">
        <f t="shared" si="11"/>
        <v>2487397.5874919267</v>
      </c>
      <c r="H61" s="30">
        <f t="shared" si="11"/>
        <v>3574672.7671184945</v>
      </c>
      <c r="I61" s="30">
        <f t="shared" si="11"/>
        <v>4661947.9467450622</v>
      </c>
      <c r="J61" s="30">
        <f t="shared" si="11"/>
        <v>5749223.1263716295</v>
      </c>
      <c r="K61" s="30">
        <f t="shared" si="11"/>
        <v>6836498.3059981968</v>
      </c>
      <c r="L61" s="30">
        <f t="shared" si="11"/>
        <v>7923773.4856247641</v>
      </c>
      <c r="M61" s="30">
        <f t="shared" si="11"/>
        <v>9011048.6652513314</v>
      </c>
    </row>
    <row r="62" spans="1:13">
      <c r="B62" s="31" t="s">
        <v>249</v>
      </c>
      <c r="C62">
        <f t="shared" ref="C62:H62" si="12">C60/((1+$B$64)^C49)</f>
        <v>-1861703.1310143445</v>
      </c>
      <c r="D62">
        <f t="shared" si="12"/>
        <v>997500.16479501617</v>
      </c>
      <c r="E62">
        <f t="shared" si="12"/>
        <v>915137.76586698729</v>
      </c>
      <c r="F62">
        <f t="shared" si="12"/>
        <v>839575.93198806175</v>
      </c>
      <c r="G62">
        <f t="shared" si="12"/>
        <v>770253.14861290064</v>
      </c>
      <c r="H62">
        <f t="shared" si="12"/>
        <v>706654.26478247752</v>
      </c>
      <c r="I62">
        <f t="shared" ref="I62:M62" si="13">I60/((1+$B$64)^I49)</f>
        <v>648306.66493805277</v>
      </c>
      <c r="J62">
        <f t="shared" si="13"/>
        <v>594776.75682390167</v>
      </c>
      <c r="K62">
        <f t="shared" si="13"/>
        <v>545666.74937972624</v>
      </c>
      <c r="L62">
        <f t="shared" si="13"/>
        <v>500611.69667864789</v>
      </c>
      <c r="M62">
        <f t="shared" si="13"/>
        <v>459276.78594371362</v>
      </c>
    </row>
    <row r="63" spans="1:13">
      <c r="C63">
        <f>SUM(C62:M62)</f>
        <v>5116056.7987951413</v>
      </c>
    </row>
    <row r="64" spans="1:13">
      <c r="A64" t="s">
        <v>250</v>
      </c>
      <c r="B64">
        <v>0.09</v>
      </c>
    </row>
    <row r="67" spans="1:9">
      <c r="A67" t="s">
        <v>250</v>
      </c>
      <c r="B67" t="s">
        <v>251</v>
      </c>
      <c r="C67" t="s">
        <v>249</v>
      </c>
    </row>
    <row r="68" spans="1:9">
      <c r="A68">
        <v>0</v>
      </c>
      <c r="B68">
        <f>1+A68</f>
        <v>1</v>
      </c>
      <c r="C68">
        <f>(C$60/((1+A68)^0))+(D$60/((1+A68)^1))+(E$60/((1+A68)^2))+(F$60/((1+A68)^3))+(G$60/((1+A68^4))+(H$60/((1+A68)^5))+(I$60/((1+A68)^6))+(J$60/((1+A68)^7))+(K$60/(1+A68)^8))+(L$60/((1+A68)^9))+(M$60/((1+A68)^10))</f>
        <v>9011048.6652513314</v>
      </c>
    </row>
    <row r="69" spans="1:9">
      <c r="A69">
        <v>0.01</v>
      </c>
      <c r="B69">
        <f t="shared" ref="B69:B78" si="14">1+A69</f>
        <v>1.01</v>
      </c>
      <c r="C69">
        <f t="shared" ref="C69:C78" si="15">(C$60/((1+A69)^0))+(D$60/((1+A69)^1))+(E$60/((1+A69)^2))+(F$60/((1+A69)^3))+(G$60/((1+A69^4))+(H$60/((1+A69)^5))+(I$60/((1+A69)^6))+(J$60/((1+A69)^7))+(K$60/(1+A69)^8))+(L$60/((1+A69)^9))+(M$60/((1+A69)^10))</f>
        <v>8478636.2959909011</v>
      </c>
    </row>
    <row r="70" spans="1:9">
      <c r="A70">
        <v>0.02</v>
      </c>
      <c r="B70">
        <f t="shared" si="14"/>
        <v>1.02</v>
      </c>
      <c r="C70">
        <f t="shared" si="15"/>
        <v>7987639.3992910041</v>
      </c>
    </row>
    <row r="71" spans="1:9">
      <c r="A71">
        <v>0.03</v>
      </c>
      <c r="B71">
        <f t="shared" si="14"/>
        <v>1.03</v>
      </c>
      <c r="C71">
        <f t="shared" si="15"/>
        <v>7534219.0749081289</v>
      </c>
    </row>
    <row r="72" spans="1:9">
      <c r="A72">
        <v>0.04</v>
      </c>
      <c r="B72">
        <f t="shared" si="14"/>
        <v>1.04</v>
      </c>
      <c r="C72">
        <f t="shared" si="15"/>
        <v>7114937.5502781076</v>
      </c>
    </row>
    <row r="73" spans="1:9">
      <c r="A73">
        <v>0.05</v>
      </c>
      <c r="B73">
        <f t="shared" si="14"/>
        <v>1.05</v>
      </c>
      <c r="C73">
        <f t="shared" si="15"/>
        <v>6726712.0042844154</v>
      </c>
    </row>
    <row r="74" spans="1:9">
      <c r="A74">
        <v>0.06</v>
      </c>
      <c r="B74">
        <f t="shared" si="14"/>
        <v>1.06</v>
      </c>
      <c r="C74">
        <f t="shared" si="15"/>
        <v>6366774.1486244164</v>
      </c>
    </row>
    <row r="75" spans="1:9">
      <c r="A75">
        <v>7.0000000000000007E-2</v>
      </c>
      <c r="B75">
        <f t="shared" si="14"/>
        <v>1.07</v>
      </c>
      <c r="C75">
        <f t="shared" si="15"/>
        <v>6032634.7965860562</v>
      </c>
    </row>
    <row r="76" spans="1:9">
      <c r="A76">
        <v>0.08</v>
      </c>
      <c r="B76">
        <f t="shared" si="14"/>
        <v>1.08</v>
      </c>
      <c r="C76">
        <f t="shared" si="15"/>
        <v>5722052.7587577309</v>
      </c>
    </row>
    <row r="77" spans="1:9">
      <c r="A77">
        <v>0.09</v>
      </c>
      <c r="B77">
        <f t="shared" si="14"/>
        <v>1.0900000000000001</v>
      </c>
      <c r="C77">
        <f t="shared" si="15"/>
        <v>5433007.4983643284</v>
      </c>
    </row>
    <row r="78" spans="1:9">
      <c r="A78">
        <v>0.1</v>
      </c>
      <c r="B78">
        <f t="shared" si="14"/>
        <v>1.1000000000000001</v>
      </c>
      <c r="C78">
        <f t="shared" si="15"/>
        <v>5163675.0581790609</v>
      </c>
    </row>
    <row r="80" spans="1:9">
      <c r="E80" t="s">
        <v>261</v>
      </c>
      <c r="G80" t="s">
        <v>262</v>
      </c>
      <c r="H80" t="s">
        <v>263</v>
      </c>
      <c r="I80" t="s">
        <v>264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>
          <x14:colorSeries theme="4" tint="-0.499984740745262"/>
          <x14:colorNegative theme="5"/>
          <x14:colorAxis rgb="FF000000"/>
          <x14:colorMarkers theme="4" tint="-0.499984740745262"/>
          <x14:colorFirst theme="4" tint="0.39997558519241921"/>
          <x14:colorLast theme="4" tint="0.39997558519241921"/>
          <x14:colorHigh theme="4"/>
          <x14:colorLow theme="4"/>
          <x14:sparklines>
            <x14:sparkline>
              <xm:f>Hoja2!C49:C49</xm:f>
              <xm:sqref>C60</xm:sqref>
            </x14:sparkline>
            <x14:sparkline>
              <xm:f>Hoja2!D49:D49</xm:f>
              <xm:sqref>D60</xm:sqref>
            </x14:sparkline>
            <x14:sparkline>
              <xm:f>Hoja2!E49:E49</xm:f>
              <xm:sqref>E60</xm:sqref>
            </x14:sparkline>
            <x14:sparkline>
              <xm:f>Hoja2!F49:F49</xm:f>
              <xm:sqref>F60</xm:sqref>
            </x14:sparkline>
            <x14:sparkline>
              <xm:f>Hoja2!G49:G49</xm:f>
              <xm:sqref>G60</xm:sqref>
            </x14:sparkline>
            <x14:sparkline>
              <xm:f>Hoja2!H49:H49</xm:f>
              <xm:sqref>H60</xm:sqref>
            </x14:sparkline>
            <x14:sparkline>
              <xm:f>Hoja2!I49:I49</xm:f>
              <xm:sqref>I60</xm:sqref>
            </x14:sparkline>
            <x14:sparkline>
              <xm:f>Hoja2!J49:J49</xm:f>
              <xm:sqref>J60</xm:sqref>
            </x14:sparkline>
            <x14:sparkline>
              <xm:f>Hoja2!K49:K49</xm:f>
              <xm:sqref>K60</xm:sqref>
            </x14:sparkline>
            <x14:sparkline>
              <xm:f>Hoja2!L49:L49</xm:f>
              <xm:sqref>L60</xm:sqref>
            </x14:sparkline>
            <x14:sparkline>
              <xm:f>Hoja2!M49:M49</xm:f>
              <xm:sqref>M60</xm:sqref>
            </x14:sparkline>
          </x14:sparklines>
        </x14:sparklineGroup>
      </x14:sparklineGroups>
    </ex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2018-05-28T19:41:07Z</dcterms:modified>
</cp:coreProperties>
</file>